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ushapraveen/Documents/MSBA/sem_2/BAN_630/Assignment/"/>
    </mc:Choice>
  </mc:AlternateContent>
  <xr:revisionPtr revIDLastSave="0" documentId="13_ncr:1_{EE7567CD-512E-AF4E-BCEC-B8A5501BC001}" xr6:coauthVersionLast="45" xr6:coauthVersionMax="45" xr10:uidLastSave="{00000000-0000-0000-0000-000000000000}"/>
  <bookViews>
    <workbookView xWindow="0" yWindow="460" windowWidth="27960" windowHeight="15920" xr2:uid="{CA49162F-78D7-7B49-8787-39D272FA6A3A}"/>
  </bookViews>
  <sheets>
    <sheet name="Q1-Formulation" sheetId="10" r:id="rId1"/>
    <sheet name="Q2-sol-2" sheetId="1" r:id="rId2"/>
    <sheet name="Q3-sol-3" sheetId="5" r:id="rId3"/>
    <sheet name="Q4-sol-4" sheetId="8" r:id="rId4"/>
    <sheet name="Q5 -one-way inputs" sheetId="13" r:id="rId5"/>
    <sheet name="Q5 -sol-one-way_STS" sheetId="14" state="veryHidden" r:id="rId6"/>
    <sheet name="Q4-sol-4_STS" sheetId="12" state="veryHidden" r:id="rId7"/>
    <sheet name="Q5-sensitivity analysis" sheetId="17" r:id="rId8"/>
    <sheet name="Q5 -two-way-inputs" sheetId="18" r:id="rId9"/>
    <sheet name="Q5 -two-way_STS" sheetId="19" state="veryHidden" r:id="rId10"/>
    <sheet name="Q5-two-way sensitvity" sheetId="22" r:id="rId11"/>
  </sheets>
  <definedNames>
    <definedName name="ChartData" localSheetId="7">'Q5-sensitivity analysis'!$K$5:$K$45</definedName>
    <definedName name="ChartData1" localSheetId="10">'Q5-two-way sensitvity'!$K$5:$K$10</definedName>
    <definedName name="ChartData2" localSheetId="10">'Q5-two-way sensitvity'!$O$5:$O$27</definedName>
    <definedName name="InputValues" localSheetId="7">'Q5-sensitivity analysis'!$A$5:$A$45</definedName>
    <definedName name="InputValues1" localSheetId="10">'Q5-two-way sensitvity'!$A$5:$A$27</definedName>
    <definedName name="InputValues2" localSheetId="10">'Q5-two-way sensitvity'!$B$4:$G$4</definedName>
    <definedName name="OutputAddresses" localSheetId="7">'Q5-sensitivity analysis'!$B$4</definedName>
    <definedName name="OutputAddresses" localSheetId="10">'Q5-two-way sensitvity'!$AZ$2:$AZ$3</definedName>
    <definedName name="OutputValues" localSheetId="7">'Q5-sensitivity analysis'!$B$5:$B$45</definedName>
    <definedName name="OutputValues_1" localSheetId="10">'Q5-two-way sensitvity'!$B$5:$G$27</definedName>
    <definedName name="OutputValues_2" localSheetId="10">'Q5-two-way sensitvity'!$B$30:$G$52</definedName>
    <definedName name="solver_adj" localSheetId="1" hidden="1">'Q2-sol-2'!$D$7:$D$16</definedName>
    <definedName name="solver_adj" localSheetId="2" hidden="1">'Q3-sol-3'!$D$6:$D$15</definedName>
    <definedName name="solver_adj" localSheetId="3" hidden="1">'Q4-sol-4'!$D$5:$D$14</definedName>
    <definedName name="solver_adj" localSheetId="4" hidden="1">'Q5 -one-way inputs'!$D$5:$D$14</definedName>
    <definedName name="solver_adj" localSheetId="8" hidden="1">'Q5 -two-way-inputs'!$D$5:$D$14</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8"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8" hidden="1">1</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8" hidden="1">2</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8" hidden="1">2147483647</definedName>
    <definedName name="solver_lhs1" localSheetId="1" hidden="1">'Q2-sol-2'!$C$34:$C$43</definedName>
    <definedName name="solver_lhs1" localSheetId="2" hidden="1">'Q3-sol-3'!$C$34:$C$43</definedName>
    <definedName name="solver_lhs1" localSheetId="3" hidden="1">'Q4-sol-4'!$C$33:$C$42</definedName>
    <definedName name="solver_lhs1" localSheetId="4" hidden="1">'Q5 -one-way inputs'!$C$33:$C$42</definedName>
    <definedName name="solver_lhs1" localSheetId="8" hidden="1">'Q5 -two-way-inputs'!$C$33:$C$42</definedName>
    <definedName name="solver_lhs2" localSheetId="1" hidden="1">'Q2-sol-2'!$D$7:$D$16</definedName>
    <definedName name="solver_lhs2" localSheetId="2" hidden="1">'Q3-sol-3'!$C$44:$C$53</definedName>
    <definedName name="solver_lhs2" localSheetId="3" hidden="1">'Q4-sol-4'!$C$43:$C$52</definedName>
    <definedName name="solver_lhs2" localSheetId="4" hidden="1">'Q5 -one-way inputs'!$C$43:$C$52</definedName>
    <definedName name="solver_lhs2" localSheetId="8" hidden="1">'Q5 -two-way-inputs'!$C$43:$C$52</definedName>
    <definedName name="solver_lhs3" localSheetId="2" hidden="1">'Q3-sol-3'!$C$54</definedName>
    <definedName name="solver_lhs3" localSheetId="3" hidden="1">'Q4-sol-4'!$C$53</definedName>
    <definedName name="solver_lhs3" localSheetId="4" hidden="1">'Q5 -one-way inputs'!$C$53</definedName>
    <definedName name="solver_lhs3" localSheetId="8" hidden="1">'Q5 -two-way-inputs'!$C$53</definedName>
    <definedName name="solver_lhs4" localSheetId="2" hidden="1">'Q3-sol-3'!$D$6:$D$15</definedName>
    <definedName name="solver_lhs4" localSheetId="3" hidden="1">'Q4-sol-4'!$D$5:$D$14</definedName>
    <definedName name="solver_lhs4" localSheetId="4" hidden="1">'Q5 -one-way inputs'!$D$5:$D$14</definedName>
    <definedName name="solver_lhs4" localSheetId="8" hidden="1">'Q5 -two-way-inputs'!$D$5:$D$14</definedName>
    <definedName name="solver_lin" localSheetId="1" hidden="1">1</definedName>
    <definedName name="solver_lin" localSheetId="2" hidden="1">1</definedName>
    <definedName name="solver_lin" localSheetId="3" hidden="1">1</definedName>
    <definedName name="solver_lin" localSheetId="4" hidden="1">1</definedName>
    <definedName name="solver_lin" localSheetId="8" hidden="1">1</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8"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8"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8"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8" hidden="1">2</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8" hidden="1">1</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8" hidden="1">2147483647</definedName>
    <definedName name="solver_num" localSheetId="1" hidden="1">2</definedName>
    <definedName name="solver_num" localSheetId="2" hidden="1">4</definedName>
    <definedName name="solver_num" localSheetId="3" hidden="1">4</definedName>
    <definedName name="solver_num" localSheetId="4" hidden="1">4</definedName>
    <definedName name="solver_num" localSheetId="8" hidden="1">4</definedName>
    <definedName name="solver_opt" localSheetId="1" hidden="1">'Q2-sol-2'!$E$18</definedName>
    <definedName name="solver_opt" localSheetId="2" hidden="1">'Q3-sol-3'!$E$17</definedName>
    <definedName name="solver_opt" localSheetId="3" hidden="1">'Q4-sol-4'!$E$16</definedName>
    <definedName name="solver_opt" localSheetId="4" hidden="1">'Q5 -one-way inputs'!$E$16</definedName>
    <definedName name="solver_opt" localSheetId="8" hidden="1">'Q5 -two-way-inputs'!$E$16</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8"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bv" localSheetId="8" hidden="1">1</definedName>
    <definedName name="solver_rel1" localSheetId="1" hidden="1">3</definedName>
    <definedName name="solver_rel1" localSheetId="2" hidden="1">3</definedName>
    <definedName name="solver_rel1" localSheetId="3" hidden="1">3</definedName>
    <definedName name="solver_rel1" localSheetId="4" hidden="1">3</definedName>
    <definedName name="solver_rel1" localSheetId="8" hidden="1">3</definedName>
    <definedName name="solver_rel2" localSheetId="1" hidden="1">4</definedName>
    <definedName name="solver_rel2" localSheetId="2" hidden="1">3</definedName>
    <definedName name="solver_rel2" localSheetId="3" hidden="1">3</definedName>
    <definedName name="solver_rel2" localSheetId="4" hidden="1">3</definedName>
    <definedName name="solver_rel2" localSheetId="8" hidden="1">3</definedName>
    <definedName name="solver_rel3" localSheetId="2" hidden="1">3</definedName>
    <definedName name="solver_rel3" localSheetId="3" hidden="1">3</definedName>
    <definedName name="solver_rel3" localSheetId="4" hidden="1">3</definedName>
    <definedName name="solver_rel3" localSheetId="8" hidden="1">3</definedName>
    <definedName name="solver_rel4" localSheetId="2" hidden="1">4</definedName>
    <definedName name="solver_rel4" localSheetId="3" hidden="1">4</definedName>
    <definedName name="solver_rel4" localSheetId="4" hidden="1">4</definedName>
    <definedName name="solver_rel4" localSheetId="8" hidden="1">4</definedName>
    <definedName name="solver_rhs1" localSheetId="1" hidden="1">'Q2-sol-2'!$E$34:$E$43</definedName>
    <definedName name="solver_rhs1" localSheetId="2" hidden="1">'Q3-sol-3'!$E$34:$E$43</definedName>
    <definedName name="solver_rhs1" localSheetId="3" hidden="1">'Q4-sol-4'!$E$33:$E$42</definedName>
    <definedName name="solver_rhs1" localSheetId="4" hidden="1">'Q5 -one-way inputs'!$E$33:$E$42</definedName>
    <definedName name="solver_rhs1" localSheetId="8" hidden="1">'Q5 -two-way-inputs'!$E$33:$E$42</definedName>
    <definedName name="solver_rhs2" localSheetId="1" hidden="1">integer</definedName>
    <definedName name="solver_rhs2" localSheetId="2" hidden="1">'Q3-sol-3'!$E$44:$E$53</definedName>
    <definedName name="solver_rhs2" localSheetId="3" hidden="1">'Q4-sol-4'!$E$43:$E$52</definedName>
    <definedName name="solver_rhs2" localSheetId="4" hidden="1">'Q5 -one-way inputs'!$E$43:$E$52</definedName>
    <definedName name="solver_rhs2" localSheetId="8" hidden="1">'Q5 -two-way-inputs'!$E$43:$E$52</definedName>
    <definedName name="solver_rhs3" localSheetId="2" hidden="1">'Q3-sol-3'!$E$54</definedName>
    <definedName name="solver_rhs3" localSheetId="3" hidden="1">'Q4-sol-4'!$E$53</definedName>
    <definedName name="solver_rhs3" localSheetId="4" hidden="1">'Q5 -one-way inputs'!$E$53</definedName>
    <definedName name="solver_rhs3" localSheetId="8" hidden="1">'Q5 -two-way-inputs'!$E$53</definedName>
    <definedName name="solver_rhs4" localSheetId="2" hidden="1">integer</definedName>
    <definedName name="solver_rhs4" localSheetId="3" hidden="1">integer</definedName>
    <definedName name="solver_rhs4" localSheetId="4" hidden="1">integer</definedName>
    <definedName name="solver_rhs4" localSheetId="8" hidden="1">integer</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8"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8" hidden="1">0</definedName>
    <definedName name="solver_scl" localSheetId="1" hidden="1">2</definedName>
    <definedName name="solver_scl" localSheetId="2" hidden="1">2</definedName>
    <definedName name="solver_scl" localSheetId="3" hidden="1">2</definedName>
    <definedName name="solver_scl" localSheetId="4" hidden="1">2</definedName>
    <definedName name="solver_scl" localSheetId="8"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8"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8" hidden="1">100</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8" hidden="1">2147483647</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8" hidden="1">0.01</definedName>
    <definedName name="solver_typ" localSheetId="1" hidden="1">2</definedName>
    <definedName name="solver_typ" localSheetId="2" hidden="1">2</definedName>
    <definedName name="solver_typ" localSheetId="3" hidden="1">2</definedName>
    <definedName name="solver_typ" localSheetId="4" hidden="1">2</definedName>
    <definedName name="solver_typ" localSheetId="8" hidden="1">2</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8" hidden="1">0</definedName>
    <definedName name="solver_ver" localSheetId="1" hidden="1">2</definedName>
    <definedName name="solver_ver" localSheetId="2" hidden="1">2</definedName>
    <definedName name="solver_ver" localSheetId="3" hidden="1">2</definedName>
    <definedName name="solver_ver" localSheetId="4" hidden="1">2</definedName>
    <definedName name="solver_ver" localSheetId="8"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3" i="8" l="1"/>
  <c r="O1" i="22" l="1"/>
  <c r="K1" i="22"/>
  <c r="Q4" i="22"/>
  <c r="N5" i="22"/>
  <c r="N4" i="22"/>
  <c r="M4" i="22"/>
  <c r="J4" i="22"/>
  <c r="J5" i="22" s="1"/>
  <c r="C62" i="18"/>
  <c r="C61" i="18"/>
  <c r="O17" i="22"/>
  <c r="O7" i="22"/>
  <c r="K8" i="22"/>
  <c r="O20" i="22"/>
  <c r="O6" i="22"/>
  <c r="K6" i="22"/>
  <c r="O16" i="22"/>
  <c r="K7" i="22"/>
  <c r="O10" i="22"/>
  <c r="O11" i="22"/>
  <c r="O12" i="22"/>
  <c r="O8" i="22"/>
  <c r="O15" i="22"/>
  <c r="O24" i="22"/>
  <c r="O5" i="22"/>
  <c r="O26" i="22"/>
  <c r="O9" i="22"/>
  <c r="K9" i="22"/>
  <c r="O13" i="22"/>
  <c r="O18" i="22"/>
  <c r="K10" i="22"/>
  <c r="O25" i="22"/>
  <c r="O21" i="22"/>
  <c r="O19" i="22"/>
  <c r="O23" i="22"/>
  <c r="K5" i="22"/>
  <c r="O14" i="22"/>
  <c r="O27" i="22"/>
  <c r="O22" i="22"/>
  <c r="E14" i="18" l="1"/>
  <c r="E13" i="18"/>
  <c r="E12" i="18"/>
  <c r="E11" i="18"/>
  <c r="E10" i="18"/>
  <c r="E9" i="18"/>
  <c r="E8" i="18"/>
  <c r="E7" i="18"/>
  <c r="E6" i="18"/>
  <c r="E5" i="18"/>
  <c r="E59" i="18"/>
  <c r="E58" i="18"/>
  <c r="E53" i="18"/>
  <c r="C53" i="18"/>
  <c r="L29" i="18"/>
  <c r="K29" i="18"/>
  <c r="J29" i="18"/>
  <c r="I29" i="18"/>
  <c r="K28" i="18"/>
  <c r="J28" i="18"/>
  <c r="I28" i="18"/>
  <c r="H28" i="18"/>
  <c r="J27" i="18"/>
  <c r="I27" i="18"/>
  <c r="H27" i="18"/>
  <c r="G27" i="18"/>
  <c r="I26" i="18"/>
  <c r="H26" i="18"/>
  <c r="G26" i="18"/>
  <c r="F26" i="18"/>
  <c r="H25" i="18"/>
  <c r="G25" i="18"/>
  <c r="F25" i="18"/>
  <c r="E25" i="18"/>
  <c r="G24" i="18"/>
  <c r="F24" i="18"/>
  <c r="E24" i="18"/>
  <c r="D24" i="18"/>
  <c r="F23" i="18"/>
  <c r="E23" i="18"/>
  <c r="D23" i="18"/>
  <c r="C23" i="18"/>
  <c r="L22" i="18"/>
  <c r="C52" i="18" s="1"/>
  <c r="K22" i="18"/>
  <c r="J22" i="18"/>
  <c r="H22" i="18"/>
  <c r="G22" i="18"/>
  <c r="F22" i="18"/>
  <c r="E22" i="18"/>
  <c r="K21" i="18"/>
  <c r="C51" i="18" s="1"/>
  <c r="J21" i="18"/>
  <c r="I21" i="18"/>
  <c r="G21" i="18"/>
  <c r="C47" i="18" s="1"/>
  <c r="F21" i="18"/>
  <c r="E21" i="18"/>
  <c r="D21" i="18"/>
  <c r="J20" i="18"/>
  <c r="C50" i="18" s="1"/>
  <c r="I20" i="18"/>
  <c r="C49" i="18" s="1"/>
  <c r="H20" i="18"/>
  <c r="C48" i="18" s="1"/>
  <c r="F20" i="18"/>
  <c r="C46" i="18" s="1"/>
  <c r="E20" i="18"/>
  <c r="C45" i="18" s="1"/>
  <c r="D20" i="18"/>
  <c r="C44" i="18" s="1"/>
  <c r="C20" i="18"/>
  <c r="C43" i="18" s="1"/>
  <c r="E16" i="18"/>
  <c r="K1" i="17"/>
  <c r="J4" i="17"/>
  <c r="K45" i="17" s="1"/>
  <c r="E53" i="13"/>
  <c r="K5" i="17" l="1"/>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C33" i="18"/>
  <c r="C34" i="18"/>
  <c r="C35" i="18"/>
  <c r="C36" i="18"/>
  <c r="C37" i="18"/>
  <c r="C38" i="18"/>
  <c r="C39" i="18"/>
  <c r="C40" i="18"/>
  <c r="C41" i="18"/>
  <c r="C42" i="18"/>
  <c r="E6" i="13"/>
  <c r="E7" i="13"/>
  <c r="E5" i="13"/>
  <c r="C53" i="13"/>
  <c r="L29" i="13"/>
  <c r="K29" i="13"/>
  <c r="J29" i="13"/>
  <c r="I29" i="13"/>
  <c r="K28" i="13"/>
  <c r="J28" i="13"/>
  <c r="I28" i="13"/>
  <c r="H28" i="13"/>
  <c r="J27" i="13"/>
  <c r="I27" i="13"/>
  <c r="H27" i="13"/>
  <c r="G27" i="13"/>
  <c r="I26" i="13"/>
  <c r="H26" i="13"/>
  <c r="G26" i="13"/>
  <c r="F26" i="13"/>
  <c r="H25" i="13"/>
  <c r="G25" i="13"/>
  <c r="F25" i="13"/>
  <c r="E25" i="13"/>
  <c r="G24" i="13"/>
  <c r="F24" i="13"/>
  <c r="E24" i="13"/>
  <c r="D24" i="13"/>
  <c r="F23" i="13"/>
  <c r="E23" i="13"/>
  <c r="D23" i="13"/>
  <c r="C23" i="13"/>
  <c r="L22" i="13"/>
  <c r="C52" i="13" s="1"/>
  <c r="K22" i="13"/>
  <c r="J22" i="13"/>
  <c r="H22" i="13"/>
  <c r="G22" i="13"/>
  <c r="F22" i="13"/>
  <c r="E22" i="13"/>
  <c r="K21" i="13"/>
  <c r="J21" i="13"/>
  <c r="I21" i="13"/>
  <c r="G21" i="13"/>
  <c r="F21" i="13"/>
  <c r="E21" i="13"/>
  <c r="D21" i="13"/>
  <c r="J20" i="13"/>
  <c r="I20" i="13"/>
  <c r="H20" i="13"/>
  <c r="F20" i="13"/>
  <c r="E20" i="13"/>
  <c r="D20" i="13"/>
  <c r="C20" i="13"/>
  <c r="C43" i="13" s="1"/>
  <c r="E14" i="13"/>
  <c r="E13" i="13"/>
  <c r="E12" i="13"/>
  <c r="E11" i="13"/>
  <c r="E10" i="13"/>
  <c r="E9" i="13"/>
  <c r="E8" i="13"/>
  <c r="E16" i="13"/>
  <c r="C46" i="13" l="1"/>
  <c r="C44" i="13"/>
  <c r="C45" i="13"/>
  <c r="C51" i="13"/>
  <c r="C47" i="13"/>
  <c r="C48" i="13"/>
  <c r="C49" i="13"/>
  <c r="C50" i="13"/>
  <c r="C33" i="13"/>
  <c r="C34" i="13"/>
  <c r="C35" i="13"/>
  <c r="C36" i="13"/>
  <c r="C37" i="13"/>
  <c r="C38" i="13"/>
  <c r="C39" i="13"/>
  <c r="C40" i="13"/>
  <c r="C41" i="13"/>
  <c r="C42" i="13"/>
  <c r="C53" i="8"/>
  <c r="L29" i="8"/>
  <c r="K29" i="8"/>
  <c r="J29" i="8"/>
  <c r="I29" i="8"/>
  <c r="K28" i="8"/>
  <c r="J28" i="8"/>
  <c r="I28" i="8"/>
  <c r="H28" i="8"/>
  <c r="J27" i="8"/>
  <c r="I27" i="8"/>
  <c r="H27" i="8"/>
  <c r="G27" i="8"/>
  <c r="I26" i="8"/>
  <c r="H26" i="8"/>
  <c r="G26" i="8"/>
  <c r="F26" i="8"/>
  <c r="H25" i="8"/>
  <c r="G25" i="8"/>
  <c r="F25" i="8"/>
  <c r="E25" i="8"/>
  <c r="G24" i="8"/>
  <c r="F24" i="8"/>
  <c r="E24" i="8"/>
  <c r="D24" i="8"/>
  <c r="F23" i="8"/>
  <c r="E23" i="8"/>
  <c r="D23" i="8"/>
  <c r="C23" i="8"/>
  <c r="L22" i="8"/>
  <c r="K22" i="8"/>
  <c r="J22" i="8"/>
  <c r="H22" i="8"/>
  <c r="G22" i="8"/>
  <c r="F22" i="8"/>
  <c r="E22" i="8"/>
  <c r="K21" i="8"/>
  <c r="J21" i="8"/>
  <c r="I21" i="8"/>
  <c r="G21" i="8"/>
  <c r="F21" i="8"/>
  <c r="E21" i="8"/>
  <c r="D21" i="8"/>
  <c r="J20" i="8"/>
  <c r="I20" i="8"/>
  <c r="H20" i="8"/>
  <c r="F20" i="8"/>
  <c r="E20" i="8"/>
  <c r="D20" i="8"/>
  <c r="C20" i="8"/>
  <c r="C43" i="8" s="1"/>
  <c r="E14" i="8"/>
  <c r="E13" i="8"/>
  <c r="E12" i="8"/>
  <c r="E11" i="8"/>
  <c r="E10" i="8"/>
  <c r="E9" i="8"/>
  <c r="E8" i="8"/>
  <c r="E7" i="8"/>
  <c r="E6" i="8"/>
  <c r="E5" i="8"/>
  <c r="C54" i="5"/>
  <c r="L30" i="5"/>
  <c r="K30" i="5"/>
  <c r="J30" i="5"/>
  <c r="I30" i="5"/>
  <c r="K29" i="5"/>
  <c r="J29" i="5"/>
  <c r="I29" i="5"/>
  <c r="H29" i="5"/>
  <c r="J28" i="5"/>
  <c r="I28" i="5"/>
  <c r="H28" i="5"/>
  <c r="G28" i="5"/>
  <c r="I27" i="5"/>
  <c r="H27" i="5"/>
  <c r="G27" i="5"/>
  <c r="F27" i="5"/>
  <c r="H26" i="5"/>
  <c r="G26" i="5"/>
  <c r="F26" i="5"/>
  <c r="E26" i="5"/>
  <c r="G25" i="5"/>
  <c r="F25" i="5"/>
  <c r="E25" i="5"/>
  <c r="D25" i="5"/>
  <c r="F24" i="5"/>
  <c r="E24" i="5"/>
  <c r="D24" i="5"/>
  <c r="C24" i="5"/>
  <c r="L23" i="5"/>
  <c r="C53" i="5" s="1"/>
  <c r="K23" i="5"/>
  <c r="J23" i="5"/>
  <c r="H23" i="5"/>
  <c r="G23" i="5"/>
  <c r="F23" i="5"/>
  <c r="E23" i="5"/>
  <c r="K22" i="5"/>
  <c r="J22" i="5"/>
  <c r="I22" i="5"/>
  <c r="G22" i="5"/>
  <c r="F22" i="5"/>
  <c r="E22" i="5"/>
  <c r="D22" i="5"/>
  <c r="J21" i="5"/>
  <c r="I21" i="5"/>
  <c r="H21" i="5"/>
  <c r="F21" i="5"/>
  <c r="E21" i="5"/>
  <c r="D21" i="5"/>
  <c r="C21" i="5"/>
  <c r="C44" i="5" s="1"/>
  <c r="E15" i="5"/>
  <c r="E14" i="5"/>
  <c r="E13" i="5"/>
  <c r="E12" i="5"/>
  <c r="E11" i="5"/>
  <c r="E10" i="5"/>
  <c r="E9" i="5"/>
  <c r="E8" i="5"/>
  <c r="E7" i="5"/>
  <c r="E6" i="5"/>
  <c r="D22" i="1"/>
  <c r="E22" i="1"/>
  <c r="F22" i="1"/>
  <c r="H22" i="1"/>
  <c r="I22" i="1"/>
  <c r="J22" i="1"/>
  <c r="J31" i="1"/>
  <c r="K31" i="1"/>
  <c r="L31" i="1"/>
  <c r="I31" i="1"/>
  <c r="I30" i="1"/>
  <c r="J30" i="1"/>
  <c r="K30" i="1"/>
  <c r="H30" i="1"/>
  <c r="H29" i="1"/>
  <c r="I29" i="1"/>
  <c r="J29" i="1"/>
  <c r="G29" i="1"/>
  <c r="G28" i="1"/>
  <c r="H28" i="1"/>
  <c r="I28" i="1"/>
  <c r="F28" i="1"/>
  <c r="H27" i="1"/>
  <c r="F27" i="1"/>
  <c r="G27" i="1"/>
  <c r="E27" i="1"/>
  <c r="E26" i="1"/>
  <c r="F26" i="1"/>
  <c r="G26" i="1"/>
  <c r="D26" i="1"/>
  <c r="D25" i="1"/>
  <c r="E25" i="1"/>
  <c r="F25" i="1"/>
  <c r="C25" i="1"/>
  <c r="F24" i="1"/>
  <c r="G24" i="1"/>
  <c r="H24" i="1"/>
  <c r="J24" i="1"/>
  <c r="K24" i="1"/>
  <c r="L24" i="1"/>
  <c r="E24" i="1"/>
  <c r="E23" i="1"/>
  <c r="F23" i="1"/>
  <c r="G23" i="1"/>
  <c r="I23" i="1"/>
  <c r="J23" i="1"/>
  <c r="K23" i="1"/>
  <c r="D23" i="1"/>
  <c r="C22" i="1"/>
  <c r="C43" i="1"/>
  <c r="C42" i="1"/>
  <c r="C41" i="1"/>
  <c r="C40" i="1"/>
  <c r="C39" i="1"/>
  <c r="C38" i="1"/>
  <c r="C37" i="1"/>
  <c r="C36" i="1"/>
  <c r="C35" i="1"/>
  <c r="C34" i="1"/>
  <c r="E11" i="1"/>
  <c r="E12" i="1"/>
  <c r="E13" i="1"/>
  <c r="E14" i="1"/>
  <c r="E15" i="1"/>
  <c r="E16" i="1"/>
  <c r="E10" i="1"/>
  <c r="E8" i="1"/>
  <c r="E9" i="1"/>
  <c r="E7" i="1"/>
  <c r="E18" i="1" s="1"/>
  <c r="E16" i="8" l="1"/>
  <c r="E17" i="5"/>
  <c r="C46" i="8"/>
  <c r="C49" i="8"/>
  <c r="C50" i="8"/>
  <c r="C51" i="8"/>
  <c r="C47" i="8"/>
  <c r="C34" i="8"/>
  <c r="C36" i="8"/>
  <c r="C35" i="8"/>
  <c r="C44" i="8"/>
  <c r="C45" i="8"/>
  <c r="C38" i="8"/>
  <c r="C42" i="8"/>
  <c r="C37" i="8"/>
  <c r="C39" i="8"/>
  <c r="C48" i="8"/>
  <c r="C33" i="8"/>
  <c r="C41" i="8"/>
  <c r="C52" i="8"/>
  <c r="C40" i="8"/>
  <c r="C36" i="5"/>
  <c r="C34" i="5"/>
  <c r="C49" i="5"/>
  <c r="C50" i="5"/>
  <c r="C42" i="5"/>
  <c r="C45" i="5"/>
  <c r="C39" i="5"/>
  <c r="C51" i="5"/>
  <c r="C46" i="5"/>
  <c r="C38" i="5"/>
  <c r="C37" i="5"/>
  <c r="C52" i="5"/>
  <c r="C47" i="5"/>
  <c r="C40" i="5"/>
  <c r="C48" i="5"/>
  <c r="C41" i="5"/>
  <c r="C35" i="5"/>
  <c r="C4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Usha Praveen</author>
  </authors>
  <commentList>
    <comment ref="B5" authorId="0" shapeId="0" xr:uid="{8756108A-FDD7-4228-8C09-29536EB89CB0}">
      <text>
        <r>
          <rPr>
            <sz val="9"/>
            <color rgb="FF000000"/>
            <rFont val="Tahoma"/>
            <family val="2"/>
          </rPr>
          <t>Solver found a solution. All constraints and optimality conditions are satisfied.</t>
        </r>
      </text>
    </comment>
    <comment ref="B6" authorId="0" shapeId="0" xr:uid="{55DE13F8-8976-47EB-A50D-AC112BC6E89E}">
      <text>
        <r>
          <rPr>
            <sz val="9"/>
            <color rgb="FF000000"/>
            <rFont val="Tahoma"/>
            <family val="2"/>
          </rPr>
          <t>Solver found a solution. All constraints and optimality conditions are satisfied.</t>
        </r>
      </text>
    </comment>
    <comment ref="B7" authorId="0" shapeId="0" xr:uid="{3F1CCBD7-4052-4E9C-9270-2C386409F2AD}">
      <text>
        <r>
          <rPr>
            <sz val="9"/>
            <color indexed="81"/>
            <rFont val="Tahoma"/>
            <family val="2"/>
          </rPr>
          <t>Solver found a solution. All constraints and optimality conditions are satisfied.</t>
        </r>
      </text>
    </comment>
    <comment ref="B8" authorId="0" shapeId="0" xr:uid="{46B1B288-0EDF-4588-89FE-B1E4C1296628}">
      <text>
        <r>
          <rPr>
            <sz val="9"/>
            <color rgb="FF000000"/>
            <rFont val="Tahoma"/>
            <family val="2"/>
          </rPr>
          <t>Solver found a solution. All constraints and optimality conditions are satisfied.</t>
        </r>
      </text>
    </comment>
    <comment ref="B9" authorId="0" shapeId="0" xr:uid="{FA7C6111-2B42-4406-A8DE-D96A2D6B4961}">
      <text>
        <r>
          <rPr>
            <sz val="9"/>
            <color rgb="FF000000"/>
            <rFont val="Tahoma"/>
            <family val="2"/>
          </rPr>
          <t>Solver found a solution. All constraints and optimality conditions are satisfied.</t>
        </r>
      </text>
    </comment>
    <comment ref="B10" authorId="0" shapeId="0" xr:uid="{1CC20DB9-2464-4C46-B899-D8DB97E1D4B4}">
      <text>
        <r>
          <rPr>
            <sz val="9"/>
            <color rgb="FF000000"/>
            <rFont val="Tahoma"/>
            <family val="2"/>
          </rPr>
          <t>Solver found a solution. All constraints and optimality conditions are satisfied.</t>
        </r>
      </text>
    </comment>
    <comment ref="B11" authorId="0" shapeId="0" xr:uid="{C9848E5A-7C59-4CA7-8A58-2D867170259F}">
      <text>
        <r>
          <rPr>
            <sz val="9"/>
            <color rgb="FF000000"/>
            <rFont val="Tahoma"/>
            <family val="2"/>
          </rPr>
          <t>Solver found a solution. All constraints and optimality conditions are satisfied.</t>
        </r>
      </text>
    </comment>
    <comment ref="B12" authorId="0" shapeId="0" xr:uid="{337C826E-9CB1-4CB6-848C-65D8605DD284}">
      <text>
        <r>
          <rPr>
            <sz val="9"/>
            <color indexed="81"/>
            <rFont val="Tahoma"/>
            <family val="2"/>
          </rPr>
          <t>Solver found a solution. All constraints and optimality conditions are satisfied.</t>
        </r>
      </text>
    </comment>
    <comment ref="B13" authorId="0" shapeId="0" xr:uid="{C1F23E4B-B35C-4607-88B6-10CA371BD0A5}">
      <text>
        <r>
          <rPr>
            <sz val="9"/>
            <color rgb="FF000000"/>
            <rFont val="Tahoma"/>
            <family val="2"/>
          </rPr>
          <t>Solver found a solution. All constraints and optimality conditions are satisfied.</t>
        </r>
      </text>
    </comment>
    <comment ref="B14" authorId="0" shapeId="0" xr:uid="{637859C7-5052-42A5-A3B0-21CABB47DC12}">
      <text>
        <r>
          <rPr>
            <sz val="9"/>
            <color rgb="FF000000"/>
            <rFont val="Tahoma"/>
            <family val="2"/>
          </rPr>
          <t>Solver found a solution. All constraints and optimality conditions are satisfied.</t>
        </r>
      </text>
    </comment>
    <comment ref="B15" authorId="0" shapeId="0" xr:uid="{4A91CCD6-6817-4CD5-BCDC-DFD5531EDC04}">
      <text>
        <r>
          <rPr>
            <sz val="9"/>
            <color rgb="FF000000"/>
            <rFont val="Tahoma"/>
            <family val="2"/>
          </rPr>
          <t>Solver found a solution. All constraints and optimality conditions are satisfied.</t>
        </r>
      </text>
    </comment>
    <comment ref="B16" authorId="0" shapeId="0" xr:uid="{5A417AC6-CBE2-49B0-9E6F-206AEC0A5036}">
      <text>
        <r>
          <rPr>
            <sz val="9"/>
            <color indexed="81"/>
            <rFont val="Tahoma"/>
            <family val="2"/>
          </rPr>
          <t>Solver found a solution. All constraints and optimality conditions are satisfied.</t>
        </r>
      </text>
    </comment>
    <comment ref="B17" authorId="0" shapeId="0" xr:uid="{4DA68DD4-7377-490F-94DA-01D1CB8D86FA}">
      <text>
        <r>
          <rPr>
            <sz val="9"/>
            <color indexed="81"/>
            <rFont val="Tahoma"/>
            <family val="2"/>
          </rPr>
          <t>Solver found a solution. All constraints and optimality conditions are satisfied.</t>
        </r>
      </text>
    </comment>
    <comment ref="B18" authorId="0" shapeId="0" xr:uid="{745BCCFA-FA74-4F14-9F6E-A8C261E13D29}">
      <text>
        <r>
          <rPr>
            <sz val="9"/>
            <color indexed="81"/>
            <rFont val="Tahoma"/>
            <family val="2"/>
          </rPr>
          <t>Solver found a solution. All constraints and optimality conditions are satisfied.</t>
        </r>
      </text>
    </comment>
    <comment ref="B19" authorId="0" shapeId="0" xr:uid="{86E1F737-FFB0-4F0C-B9CC-843B9CC9C5F1}">
      <text>
        <r>
          <rPr>
            <sz val="9"/>
            <color indexed="81"/>
            <rFont val="Tahoma"/>
            <family val="2"/>
          </rPr>
          <t>Solver found an integer solution within tolerance. All constraints are satisfied.</t>
        </r>
      </text>
    </comment>
    <comment ref="B20" authorId="0" shapeId="0" xr:uid="{B3FDE268-A71D-4E41-A642-0C2C17A2DF7F}">
      <text>
        <r>
          <rPr>
            <sz val="9"/>
            <color rgb="FF000000"/>
            <rFont val="Tahoma"/>
            <family val="2"/>
          </rPr>
          <t>Solver found an integer solution within tolerance. All constraints are satisfied.</t>
        </r>
      </text>
    </comment>
    <comment ref="B21" authorId="0" shapeId="0" xr:uid="{9CCD2482-BE82-4FAA-A7F9-C5924E0881CC}">
      <text>
        <r>
          <rPr>
            <sz val="9"/>
            <color rgb="FF000000"/>
            <rFont val="Tahoma"/>
            <family val="2"/>
          </rPr>
          <t>Solver found an integer solution within tolerance. All constraints are satisfied.</t>
        </r>
      </text>
    </comment>
    <comment ref="B22" authorId="0" shapeId="0" xr:uid="{929749EF-6A4D-46AC-BD37-05E4AA21FE0A}">
      <text>
        <r>
          <rPr>
            <sz val="9"/>
            <color rgb="FF000000"/>
            <rFont val="Tahoma"/>
            <family val="2"/>
          </rPr>
          <t>Solver found a solution. All constraints and optimality conditions are satisfied.</t>
        </r>
      </text>
    </comment>
    <comment ref="B23" authorId="0" shapeId="0" xr:uid="{92282021-3CDB-41F9-AC05-9145E7E77343}">
      <text>
        <r>
          <rPr>
            <sz val="9"/>
            <color rgb="FF000000"/>
            <rFont val="Tahoma"/>
            <family val="2"/>
          </rPr>
          <t>Solver found a solution. All constraints and optimality conditions are satisfied.</t>
        </r>
      </text>
    </comment>
    <comment ref="B24" authorId="0" shapeId="0" xr:uid="{91905BD8-9A1F-4EEA-8D80-EC18C0175C61}">
      <text>
        <r>
          <rPr>
            <sz val="9"/>
            <color indexed="81"/>
            <rFont val="Tahoma"/>
            <family val="2"/>
          </rPr>
          <t>Solver found an integer solution within tolerance. All constraints are satisfied.</t>
        </r>
      </text>
    </comment>
    <comment ref="B25" authorId="0" shapeId="0" xr:uid="{5F55032B-3983-4649-A596-7E49BE3CF4F2}">
      <text>
        <r>
          <rPr>
            <sz val="9"/>
            <color indexed="81"/>
            <rFont val="Tahoma"/>
            <family val="2"/>
          </rPr>
          <t>Solver found a solution. All constraints and optimality conditions are satisfied.</t>
        </r>
      </text>
    </comment>
    <comment ref="B26" authorId="0" shapeId="0" xr:uid="{87318289-4228-49D6-8F18-B84F7A3AD3FA}">
      <text>
        <r>
          <rPr>
            <sz val="9"/>
            <color indexed="81"/>
            <rFont val="Tahoma"/>
            <family val="2"/>
          </rPr>
          <t>Solver found a solution. All constraints and optimality conditions are satisfied.</t>
        </r>
      </text>
    </comment>
    <comment ref="B27" authorId="0" shapeId="0" xr:uid="{DF36BAFD-E689-4E8E-AF4F-9A916235FF39}">
      <text>
        <r>
          <rPr>
            <sz val="9"/>
            <color indexed="81"/>
            <rFont val="Tahoma"/>
            <family val="2"/>
          </rPr>
          <t>Solver found a solution. All constraints and optimality conditions are satisfied.</t>
        </r>
      </text>
    </comment>
    <comment ref="B28" authorId="0" shapeId="0" xr:uid="{A284C3EF-70DC-4A52-A8B5-C2F32D53BD55}">
      <text>
        <r>
          <rPr>
            <sz val="9"/>
            <color indexed="81"/>
            <rFont val="Tahoma"/>
            <family val="2"/>
          </rPr>
          <t>Solver found a solution. All constraints and optimality conditions are satisfied.</t>
        </r>
      </text>
    </comment>
    <comment ref="B29" authorId="0" shapeId="0" xr:uid="{5D3ABE9E-F730-4317-A026-91FBC10989F5}">
      <text>
        <r>
          <rPr>
            <sz val="9"/>
            <color indexed="81"/>
            <rFont val="Tahoma"/>
            <family val="2"/>
          </rPr>
          <t>Solver found an integer solution within tolerance. All constraints are satisfied.</t>
        </r>
      </text>
    </comment>
    <comment ref="B30" authorId="0" shapeId="0" xr:uid="{BF686DCF-646A-4242-A838-04EC09DA360B}">
      <text>
        <r>
          <rPr>
            <sz val="9"/>
            <color indexed="81"/>
            <rFont val="Tahoma"/>
            <family val="2"/>
          </rPr>
          <t>Solver found an integer solution within tolerance. All constraints are satisfied.</t>
        </r>
      </text>
    </comment>
    <comment ref="B31" authorId="0" shapeId="0" xr:uid="{0153EE84-F818-4C41-BCB0-20C77BC50C40}">
      <text>
        <r>
          <rPr>
            <sz val="9"/>
            <color indexed="81"/>
            <rFont val="Tahoma"/>
            <family val="2"/>
          </rPr>
          <t>Solver found an integer solution within tolerance. All constraints are satisfied.</t>
        </r>
      </text>
    </comment>
    <comment ref="B32" authorId="0" shapeId="0" xr:uid="{EA310AF9-54D3-4256-A4DE-07D38129576C}">
      <text>
        <r>
          <rPr>
            <sz val="9"/>
            <color rgb="FF000000"/>
            <rFont val="Tahoma"/>
            <family val="2"/>
          </rPr>
          <t>Solver found an integer solution within tolerance. All constraints are satisfied.</t>
        </r>
      </text>
    </comment>
    <comment ref="B33" authorId="0" shapeId="0" xr:uid="{4EBC70C7-B201-4A89-9EF5-0A6B3A3A3636}">
      <text>
        <r>
          <rPr>
            <sz val="9"/>
            <color rgb="FF000000"/>
            <rFont val="Tahoma"/>
            <family val="2"/>
          </rPr>
          <t>Solver found a solution. All constraints and optimality conditions are satisfied.</t>
        </r>
      </text>
    </comment>
    <comment ref="B34" authorId="0" shapeId="0" xr:uid="{7E035A70-7D5B-4172-917F-CC699F16C70E}">
      <text>
        <r>
          <rPr>
            <sz val="9"/>
            <color indexed="81"/>
            <rFont val="Tahoma"/>
            <family val="2"/>
          </rPr>
          <t>Solver found a solution. All constraints and optimality conditions are satisfied.</t>
        </r>
      </text>
    </comment>
    <comment ref="B35" authorId="0" shapeId="0" xr:uid="{CAD025FF-3490-4BA6-B96D-3E1897FB5CD4}">
      <text>
        <r>
          <rPr>
            <sz val="9"/>
            <color indexed="81"/>
            <rFont val="Tahoma"/>
            <family val="2"/>
          </rPr>
          <t>Solver found a solution. All constraints and optimality conditions are satisfied.</t>
        </r>
      </text>
    </comment>
    <comment ref="B36" authorId="0" shapeId="0" xr:uid="{F7F895E0-DE97-47AD-A7F5-0033E8591B13}">
      <text>
        <r>
          <rPr>
            <sz val="9"/>
            <color indexed="81"/>
            <rFont val="Tahoma"/>
            <family val="2"/>
          </rPr>
          <t>Solver found a solution. All constraints and optimality conditions are satisfied.</t>
        </r>
      </text>
    </comment>
    <comment ref="B37" authorId="0" shapeId="0" xr:uid="{B20E50BD-2480-47BB-820D-79DACA7C7E80}">
      <text>
        <r>
          <rPr>
            <sz val="9"/>
            <color indexed="81"/>
            <rFont val="Tahoma"/>
            <family val="2"/>
          </rPr>
          <t>Solver found a solution. All constraints and optimality conditions are satisfied.</t>
        </r>
      </text>
    </comment>
    <comment ref="B38" authorId="0" shapeId="0" xr:uid="{7CB5DACE-A2EB-4FCA-9135-8DEB22D0F667}">
      <text>
        <r>
          <rPr>
            <sz val="9"/>
            <color indexed="81"/>
            <rFont val="Tahoma"/>
            <family val="2"/>
          </rPr>
          <t>Solver found a solution. All constraints and optimality conditions are satisfied.</t>
        </r>
      </text>
    </comment>
    <comment ref="B39" authorId="0" shapeId="0" xr:uid="{B3FBF8CE-CA4E-400C-A613-D2799BD513FE}">
      <text>
        <r>
          <rPr>
            <sz val="9"/>
            <color indexed="81"/>
            <rFont val="Tahoma"/>
            <family val="2"/>
          </rPr>
          <t>Solver found a solution. All constraints and optimality conditions are satisfied.</t>
        </r>
      </text>
    </comment>
    <comment ref="B40" authorId="0" shapeId="0" xr:uid="{250A856D-843A-4B2B-BBC5-DBD096C13B54}">
      <text>
        <r>
          <rPr>
            <sz val="9"/>
            <color indexed="81"/>
            <rFont val="Tahoma"/>
            <family val="2"/>
          </rPr>
          <t>Solver found an integer solution within tolerance. All constraints are satisfied.</t>
        </r>
      </text>
    </comment>
    <comment ref="B41" authorId="0" shapeId="0" xr:uid="{A994EF7C-6C3E-4EEF-AD4A-1DCFF75D45EA}">
      <text>
        <r>
          <rPr>
            <sz val="9"/>
            <color indexed="81"/>
            <rFont val="Tahoma"/>
            <family val="2"/>
          </rPr>
          <t>Solver found an integer solution within tolerance. All constraints are satisfied.</t>
        </r>
      </text>
    </comment>
    <comment ref="B42" authorId="0" shapeId="0" xr:uid="{1797D6BD-6E87-4206-8B5A-7760692FA53E}">
      <text>
        <r>
          <rPr>
            <sz val="9"/>
            <color indexed="81"/>
            <rFont val="Tahoma"/>
            <family val="2"/>
          </rPr>
          <t>Solver found an integer solution within tolerance. All constraints are satisfied.</t>
        </r>
      </text>
    </comment>
    <comment ref="B43" authorId="0" shapeId="0" xr:uid="{5CB1F9BE-7C0D-40A3-A7AC-83C76826177B}">
      <text>
        <r>
          <rPr>
            <sz val="9"/>
            <color rgb="FF000000"/>
            <rFont val="Tahoma"/>
            <family val="2"/>
          </rPr>
          <t>Solver found an integer solution within tolerance. All constraints are satisfied.</t>
        </r>
      </text>
    </comment>
    <comment ref="B44" authorId="0" shapeId="0" xr:uid="{71B1CD68-FFF2-467D-A3A7-A9CCCB40260A}">
      <text>
        <r>
          <rPr>
            <sz val="9"/>
            <color rgb="FF000000"/>
            <rFont val="Tahoma"/>
            <family val="2"/>
          </rPr>
          <t>Solver found a solution. All constraints and optimality conditions are satisfied.</t>
        </r>
      </text>
    </comment>
    <comment ref="B45" authorId="0" shapeId="0" xr:uid="{8B03F2EF-C9AD-4A35-923F-D5E61ECF31F9}">
      <text>
        <r>
          <rPr>
            <sz val="9"/>
            <color rgb="FF000000"/>
            <rFont val="Tahoma"/>
            <family val="2"/>
          </rPr>
          <t>Solver found a solution. All constraints and optimality conditions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Usha Praveen</author>
  </authors>
  <commentList>
    <comment ref="B5" authorId="0" shapeId="0" xr:uid="{64A47D32-C1F2-4F45-96D4-AF88451A2C61}">
      <text>
        <r>
          <rPr>
            <sz val="9"/>
            <color indexed="81"/>
            <rFont val="Tahoma"/>
            <family val="2"/>
          </rPr>
          <t>Solver found a solution. All constraints and optimality conditions are satisfied.</t>
        </r>
      </text>
    </comment>
    <comment ref="C5" authorId="0" shapeId="0" xr:uid="{998345B7-1E4E-47A5-A43D-271F8E29595C}">
      <text>
        <r>
          <rPr>
            <sz val="9"/>
            <color indexed="81"/>
            <rFont val="Tahoma"/>
            <family val="2"/>
          </rPr>
          <t>Solver found a solution. All constraints and optimality conditions are satisfied.</t>
        </r>
      </text>
    </comment>
    <comment ref="D5" authorId="0" shapeId="0" xr:uid="{4C6907CD-9197-4E37-B1DD-09329EBCCE33}">
      <text>
        <r>
          <rPr>
            <sz val="9"/>
            <color indexed="81"/>
            <rFont val="Tahoma"/>
            <family val="2"/>
          </rPr>
          <t>Solver found a solution. All constraints and optimality conditions are satisfied.</t>
        </r>
      </text>
    </comment>
    <comment ref="E5" authorId="0" shapeId="0" xr:uid="{B2B71608-0DBA-46CA-BF0D-A5AEE3047857}">
      <text>
        <r>
          <rPr>
            <sz val="9"/>
            <color indexed="81"/>
            <rFont val="Tahoma"/>
            <family val="2"/>
          </rPr>
          <t>Solver found a solution. All constraints and optimality conditions are satisfied.</t>
        </r>
      </text>
    </comment>
    <comment ref="F5" authorId="0" shapeId="0" xr:uid="{3F487E50-FD91-4131-B8AC-8C3BC5B2AC29}">
      <text>
        <r>
          <rPr>
            <sz val="9"/>
            <color indexed="81"/>
            <rFont val="Tahoma"/>
            <family val="2"/>
          </rPr>
          <t>Solver found an integer solution within tolerance. All constraints are satisfied.</t>
        </r>
      </text>
    </comment>
    <comment ref="G5" authorId="0" shapeId="0" xr:uid="{D74175B9-4787-49B2-B1FE-613A4226DB83}">
      <text>
        <r>
          <rPr>
            <sz val="9"/>
            <color indexed="81"/>
            <rFont val="Tahoma"/>
            <family val="2"/>
          </rPr>
          <t>Solver found an integer solution within tolerance. All constraints are satisfied.</t>
        </r>
      </text>
    </comment>
    <comment ref="B6" authorId="0" shapeId="0" xr:uid="{8A44A848-5140-475F-8905-172E8E835A1A}">
      <text>
        <r>
          <rPr>
            <sz val="9"/>
            <color indexed="81"/>
            <rFont val="Tahoma"/>
            <family val="2"/>
          </rPr>
          <t>Solver found a solution. All constraints and optimality conditions are satisfied.</t>
        </r>
      </text>
    </comment>
    <comment ref="C6" authorId="0" shapeId="0" xr:uid="{588BA945-6666-430F-91FB-3426956409CD}">
      <text>
        <r>
          <rPr>
            <sz val="9"/>
            <color indexed="81"/>
            <rFont val="Tahoma"/>
            <family val="2"/>
          </rPr>
          <t>Solver found a solution. All constraints and optimality conditions are satisfied.</t>
        </r>
      </text>
    </comment>
    <comment ref="D6" authorId="0" shapeId="0" xr:uid="{CC846DE4-D1E0-4BB3-A0B7-B10C36AFC4FB}">
      <text>
        <r>
          <rPr>
            <sz val="9"/>
            <color indexed="81"/>
            <rFont val="Tahoma"/>
            <family val="2"/>
          </rPr>
          <t>Solver found a solution. All constraints and optimality conditions are satisfied.</t>
        </r>
      </text>
    </comment>
    <comment ref="E6" authorId="0" shapeId="0" xr:uid="{5AD617B1-A687-4039-8621-A989A9E93F08}">
      <text>
        <r>
          <rPr>
            <sz val="9"/>
            <color indexed="81"/>
            <rFont val="Tahoma"/>
            <family val="2"/>
          </rPr>
          <t>Solver found a solution. All constraints and optimality conditions are satisfied.</t>
        </r>
      </text>
    </comment>
    <comment ref="F6" authorId="0" shapeId="0" xr:uid="{DA256191-EB51-4000-842C-A9A1EC7617E5}">
      <text>
        <r>
          <rPr>
            <sz val="9"/>
            <color indexed="81"/>
            <rFont val="Tahoma"/>
            <family val="2"/>
          </rPr>
          <t>Solver found a solution. All constraints and optimality conditions are satisfied.</t>
        </r>
      </text>
    </comment>
    <comment ref="G6" authorId="0" shapeId="0" xr:uid="{74033B4E-E866-426A-BA02-0B3D7B313B2A}">
      <text>
        <r>
          <rPr>
            <sz val="9"/>
            <color indexed="81"/>
            <rFont val="Tahoma"/>
            <family val="2"/>
          </rPr>
          <t>Solver found a solution. All constraints and optimality conditions are satisfied.</t>
        </r>
      </text>
    </comment>
    <comment ref="B7" authorId="0" shapeId="0" xr:uid="{4F824259-FCA4-4E49-A264-BF064B113CDD}">
      <text>
        <r>
          <rPr>
            <sz val="9"/>
            <color indexed="81"/>
            <rFont val="Tahoma"/>
            <family val="2"/>
          </rPr>
          <t>Solver found a solution. All constraints and optimality conditions are satisfied.</t>
        </r>
      </text>
    </comment>
    <comment ref="C7" authorId="0" shapeId="0" xr:uid="{24D13E85-56B9-49E6-A41A-99BE5FDBFB82}">
      <text>
        <r>
          <rPr>
            <sz val="9"/>
            <color indexed="81"/>
            <rFont val="Tahoma"/>
            <family val="2"/>
          </rPr>
          <t>Solver found a solution. All constraints and optimality conditions are satisfied.</t>
        </r>
      </text>
    </comment>
    <comment ref="D7" authorId="0" shapeId="0" xr:uid="{67182FAA-F783-4631-BF4B-CE5153A63A34}">
      <text>
        <r>
          <rPr>
            <sz val="9"/>
            <color indexed="81"/>
            <rFont val="Tahoma"/>
            <family val="2"/>
          </rPr>
          <t>Solver found a solution. All constraints and optimality conditions are satisfied.</t>
        </r>
      </text>
    </comment>
    <comment ref="E7" authorId="0" shapeId="0" xr:uid="{81BD7245-2C26-41FF-92DC-57D8BC438513}">
      <text>
        <r>
          <rPr>
            <sz val="9"/>
            <color indexed="81"/>
            <rFont val="Tahoma"/>
            <family val="2"/>
          </rPr>
          <t>Solver found a solution. All constraints and optimality conditions are satisfied.</t>
        </r>
      </text>
    </comment>
    <comment ref="F7" authorId="0" shapeId="0" xr:uid="{D174E536-C652-4B0A-B65E-2CD6ADA71149}">
      <text>
        <r>
          <rPr>
            <sz val="9"/>
            <color indexed="81"/>
            <rFont val="Tahoma"/>
            <family val="2"/>
          </rPr>
          <t>Solver found a solution. All constraints and optimality conditions are satisfied.</t>
        </r>
      </text>
    </comment>
    <comment ref="G7" authorId="0" shapeId="0" xr:uid="{61DE8C25-3E07-4816-8731-EA199ED3B866}">
      <text>
        <r>
          <rPr>
            <sz val="9"/>
            <color indexed="81"/>
            <rFont val="Tahoma"/>
            <family val="2"/>
          </rPr>
          <t>Solver found a solution. All constraints and optimality conditions are satisfied.</t>
        </r>
      </text>
    </comment>
    <comment ref="B8" authorId="0" shapeId="0" xr:uid="{3C7052A9-3D80-4925-B899-E32A9A6408B3}">
      <text>
        <r>
          <rPr>
            <sz val="9"/>
            <color indexed="81"/>
            <rFont val="Tahoma"/>
            <family val="2"/>
          </rPr>
          <t>Solver found a solution. All constraints and optimality conditions are satisfied.</t>
        </r>
      </text>
    </comment>
    <comment ref="C8" authorId="0" shapeId="0" xr:uid="{2FEA89DE-A31A-451D-9EDB-E2B88F8A7067}">
      <text>
        <r>
          <rPr>
            <sz val="9"/>
            <color indexed="81"/>
            <rFont val="Tahoma"/>
            <family val="2"/>
          </rPr>
          <t>Solver found a solution. All constraints and optimality conditions are satisfied.</t>
        </r>
      </text>
    </comment>
    <comment ref="D8" authorId="0" shapeId="0" xr:uid="{F03B2DFE-1AAA-4BD4-B44E-ED01BCC0B57E}">
      <text>
        <r>
          <rPr>
            <sz val="9"/>
            <color indexed="81"/>
            <rFont val="Tahoma"/>
            <family val="2"/>
          </rPr>
          <t>Solver found a solution. All constraints and optimality conditions are satisfied.</t>
        </r>
      </text>
    </comment>
    <comment ref="E8" authorId="0" shapeId="0" xr:uid="{CB7F0E4D-3D7D-4C39-89F9-50808E3FCEFD}">
      <text>
        <r>
          <rPr>
            <sz val="9"/>
            <color indexed="81"/>
            <rFont val="Tahoma"/>
            <family val="2"/>
          </rPr>
          <t>Solver found a solution. All constraints and optimality conditions are satisfied.</t>
        </r>
      </text>
    </comment>
    <comment ref="F8" authorId="0" shapeId="0" xr:uid="{C96FB7C8-DF0C-431C-B8B3-05CEB48753BA}">
      <text>
        <r>
          <rPr>
            <sz val="9"/>
            <color indexed="81"/>
            <rFont val="Tahoma"/>
            <family val="2"/>
          </rPr>
          <t>Solver found a solution. All constraints and optimality conditions are satisfied.</t>
        </r>
      </text>
    </comment>
    <comment ref="G8" authorId="0" shapeId="0" xr:uid="{D120BA09-E0AF-4D07-926C-2E7A199CCDA6}">
      <text>
        <r>
          <rPr>
            <sz val="9"/>
            <color indexed="81"/>
            <rFont val="Tahoma"/>
            <family val="2"/>
          </rPr>
          <t>Solver found a solution. All constraints and optimality conditions are satisfied.</t>
        </r>
      </text>
    </comment>
    <comment ref="B9" authorId="0" shapeId="0" xr:uid="{68937679-9FA0-40DC-ABC7-1920B211034E}">
      <text>
        <r>
          <rPr>
            <sz val="9"/>
            <color indexed="81"/>
            <rFont val="Tahoma"/>
            <family val="2"/>
          </rPr>
          <t>Solver found an integer solution within tolerance. All constraints are satisfied.</t>
        </r>
      </text>
    </comment>
    <comment ref="C9" authorId="0" shapeId="0" xr:uid="{3704FB16-498B-48FC-A783-3F2A3E7098B2}">
      <text>
        <r>
          <rPr>
            <sz val="9"/>
            <color indexed="81"/>
            <rFont val="Tahoma"/>
            <family val="2"/>
          </rPr>
          <t>Solver found a solution. All constraints and optimality conditions are satisfied.</t>
        </r>
      </text>
    </comment>
    <comment ref="D9" authorId="0" shapeId="0" xr:uid="{4327515E-3DFD-4FB7-BC2E-4198A91BA716}">
      <text>
        <r>
          <rPr>
            <sz val="9"/>
            <color indexed="81"/>
            <rFont val="Tahoma"/>
            <family val="2"/>
          </rPr>
          <t>Solver found a solution. All constraints and optimality conditions are satisfied.</t>
        </r>
      </text>
    </comment>
    <comment ref="E9" authorId="0" shapeId="0" xr:uid="{01FDBD15-8099-4243-BF8E-0914C190DCDD}">
      <text>
        <r>
          <rPr>
            <sz val="9"/>
            <color rgb="FF000000"/>
            <rFont val="Tahoma"/>
            <family val="2"/>
          </rPr>
          <t>Solver found a solution. All constraints and optimality conditions are satisfied.</t>
        </r>
      </text>
    </comment>
    <comment ref="F9" authorId="0" shapeId="0" xr:uid="{3E5CBCF3-BA2E-4169-BDC7-F09699557E51}">
      <text>
        <r>
          <rPr>
            <sz val="9"/>
            <color indexed="81"/>
            <rFont val="Tahoma"/>
            <family val="2"/>
          </rPr>
          <t>Solver found a solution. All constraints and optimality conditions are satisfied.</t>
        </r>
      </text>
    </comment>
    <comment ref="G9" authorId="0" shapeId="0" xr:uid="{9A3BA642-18CF-4CE2-89DF-384D4CA58936}">
      <text>
        <r>
          <rPr>
            <sz val="9"/>
            <color indexed="81"/>
            <rFont val="Tahoma"/>
            <family val="2"/>
          </rPr>
          <t>Solver found a solution. All constraints and optimality conditions are satisfied.</t>
        </r>
      </text>
    </comment>
    <comment ref="B10" authorId="0" shapeId="0" xr:uid="{934B8A7B-B8B5-4762-9182-485CF9110D0F}">
      <text>
        <r>
          <rPr>
            <sz val="9"/>
            <color indexed="81"/>
            <rFont val="Tahoma"/>
            <family val="2"/>
          </rPr>
          <t>Solver found an integer solution within tolerance. All constraints are satisfied.</t>
        </r>
      </text>
    </comment>
    <comment ref="C10" authorId="0" shapeId="0" xr:uid="{BF4508F5-D6E9-40F7-A2B6-F7571D35C526}">
      <text>
        <r>
          <rPr>
            <sz val="9"/>
            <color indexed="81"/>
            <rFont val="Tahoma"/>
            <family val="2"/>
          </rPr>
          <t>Solver found an integer solution within tolerance. All constraints are satisfied.</t>
        </r>
      </text>
    </comment>
    <comment ref="D10" authorId="0" shapeId="0" xr:uid="{2910DE08-8D67-4F7D-8744-1090D0DFC021}">
      <text>
        <r>
          <rPr>
            <sz val="9"/>
            <color indexed="81"/>
            <rFont val="Tahoma"/>
            <family val="2"/>
          </rPr>
          <t>Solver found a solution. All constraints and optimality conditions are satisfied.</t>
        </r>
      </text>
    </comment>
    <comment ref="E10" authorId="0" shapeId="0" xr:uid="{456B5301-80AB-4A25-9851-68015785CA87}">
      <text>
        <r>
          <rPr>
            <sz val="9"/>
            <color indexed="81"/>
            <rFont val="Tahoma"/>
            <family val="2"/>
          </rPr>
          <t>Solver found a solution. All constraints and optimality conditions are satisfied.</t>
        </r>
      </text>
    </comment>
    <comment ref="F10" authorId="0" shapeId="0" xr:uid="{535EBF06-96DB-4BEF-A7BD-C363816CB435}">
      <text>
        <r>
          <rPr>
            <sz val="9"/>
            <color indexed="81"/>
            <rFont val="Tahoma"/>
            <family val="2"/>
          </rPr>
          <t>Solver found a solution. All constraints and optimality conditions are satisfied.</t>
        </r>
      </text>
    </comment>
    <comment ref="G10" authorId="0" shapeId="0" xr:uid="{1DD1B1DA-3513-470C-871D-35480BB3F24E}">
      <text>
        <r>
          <rPr>
            <sz val="9"/>
            <color rgb="FF000000"/>
            <rFont val="Tahoma"/>
            <family val="2"/>
          </rPr>
          <t>Solver found a solution. All constraints and optimality conditions are satisfied.</t>
        </r>
      </text>
    </comment>
    <comment ref="B11" authorId="0" shapeId="0" xr:uid="{5C72A68C-4DB2-4247-A876-DAB7F061B134}">
      <text>
        <r>
          <rPr>
            <sz val="9"/>
            <color indexed="81"/>
            <rFont val="Tahoma"/>
            <family val="2"/>
          </rPr>
          <t>Solver found a solution. All constraints and optimality conditions are satisfied.</t>
        </r>
      </text>
    </comment>
    <comment ref="C11" authorId="0" shapeId="0" xr:uid="{77747533-543E-4647-A329-340E478BB84A}">
      <text>
        <r>
          <rPr>
            <sz val="9"/>
            <color indexed="81"/>
            <rFont val="Tahoma"/>
            <family val="2"/>
          </rPr>
          <t>Solver found an integer solution within tolerance. All constraints are satisfied.</t>
        </r>
      </text>
    </comment>
    <comment ref="D11" authorId="0" shapeId="0" xr:uid="{BAA27485-1F03-4514-B222-0249BC301A1C}">
      <text>
        <r>
          <rPr>
            <sz val="9"/>
            <color indexed="81"/>
            <rFont val="Tahoma"/>
            <family val="2"/>
          </rPr>
          <t>Solver found an integer solution within tolerance. All constraints are satisfied.</t>
        </r>
      </text>
    </comment>
    <comment ref="E11" authorId="0" shapeId="0" xr:uid="{009F52F2-9A88-4E40-9713-782DF6150B62}">
      <text>
        <r>
          <rPr>
            <sz val="9"/>
            <color indexed="81"/>
            <rFont val="Tahoma"/>
            <family val="2"/>
          </rPr>
          <t>Solver found a solution. All constraints and optimality conditions are satisfied.</t>
        </r>
      </text>
    </comment>
    <comment ref="F11" authorId="0" shapeId="0" xr:uid="{C45DCAF7-E578-4C31-8959-88288CBC260E}">
      <text>
        <r>
          <rPr>
            <sz val="9"/>
            <color indexed="81"/>
            <rFont val="Tahoma"/>
            <family val="2"/>
          </rPr>
          <t>Solver found a solution. All constraints and optimality conditions are satisfied.</t>
        </r>
      </text>
    </comment>
    <comment ref="G11" authorId="0" shapeId="0" xr:uid="{665EE561-B84E-4AEA-A20C-389C11EF11C4}">
      <text>
        <r>
          <rPr>
            <sz val="9"/>
            <color indexed="81"/>
            <rFont val="Tahoma"/>
            <family val="2"/>
          </rPr>
          <t>Solver found a solution. All constraints and optimality conditions are satisfied.</t>
        </r>
      </text>
    </comment>
    <comment ref="B12" authorId="0" shapeId="0" xr:uid="{A0E4B98E-6D41-430B-8F98-5861FB25A026}">
      <text>
        <r>
          <rPr>
            <sz val="9"/>
            <color indexed="81"/>
            <rFont val="Tahoma"/>
            <family val="2"/>
          </rPr>
          <t>Solver found a solution. All constraints and optimality conditions are satisfied.</t>
        </r>
      </text>
    </comment>
    <comment ref="C12" authorId="0" shapeId="0" xr:uid="{E134CDB7-A100-4EE6-8298-E8497154DED7}">
      <text>
        <r>
          <rPr>
            <sz val="9"/>
            <color indexed="81"/>
            <rFont val="Tahoma"/>
            <family val="2"/>
          </rPr>
          <t>Solver found a solution. All constraints and optimality conditions are satisfied.</t>
        </r>
      </text>
    </comment>
    <comment ref="D12" authorId="0" shapeId="0" xr:uid="{7F680E03-B8FC-4AD2-82A3-CBC77EA0A331}">
      <text>
        <r>
          <rPr>
            <sz val="9"/>
            <color indexed="81"/>
            <rFont val="Tahoma"/>
            <family val="2"/>
          </rPr>
          <t>Solver found an integer solution within tolerance. All constraints are satisfied.</t>
        </r>
      </text>
    </comment>
    <comment ref="E12" authorId="0" shapeId="0" xr:uid="{0C166B22-4E30-4493-ADB5-03FE392DFE16}">
      <text>
        <r>
          <rPr>
            <sz val="9"/>
            <color indexed="81"/>
            <rFont val="Tahoma"/>
            <family val="2"/>
          </rPr>
          <t>Solver found an integer solution within tolerance. All constraints are satisfied.</t>
        </r>
      </text>
    </comment>
    <comment ref="F12" authorId="0" shapeId="0" xr:uid="{53DC6F8C-4C2E-489A-9267-BA9FE3B827CB}">
      <text>
        <r>
          <rPr>
            <sz val="9"/>
            <color indexed="81"/>
            <rFont val="Tahoma"/>
            <family val="2"/>
          </rPr>
          <t>Solver found an integer solution within tolerance. All constraints are satisfied.</t>
        </r>
      </text>
    </comment>
    <comment ref="G12" authorId="0" shapeId="0" xr:uid="{9A73305F-0332-429A-86CE-E4882136FC05}">
      <text>
        <r>
          <rPr>
            <sz val="9"/>
            <color indexed="81"/>
            <rFont val="Tahoma"/>
            <family val="2"/>
          </rPr>
          <t>Solver found a solution. All constraints and optimality conditions are satisfied.</t>
        </r>
      </text>
    </comment>
    <comment ref="B13" authorId="0" shapeId="0" xr:uid="{067799CB-CF8C-4B85-84C1-512505C87B81}">
      <text>
        <r>
          <rPr>
            <sz val="9"/>
            <color indexed="81"/>
            <rFont val="Tahoma"/>
            <family val="2"/>
          </rPr>
          <t>Solver found a solution. All constraints and optimality conditions are satisfied.</t>
        </r>
      </text>
    </comment>
    <comment ref="C13" authorId="0" shapeId="0" xr:uid="{B19F9BB3-0A05-4591-A5A4-D036B9BBB103}">
      <text>
        <r>
          <rPr>
            <sz val="9"/>
            <color indexed="81"/>
            <rFont val="Tahoma"/>
            <family val="2"/>
          </rPr>
          <t>Solver found a solution. All constraints and optimality conditions are satisfied.</t>
        </r>
      </text>
    </comment>
    <comment ref="D13" authorId="0" shapeId="0" xr:uid="{A4079731-C731-4D12-8175-93B16E9B63D2}">
      <text>
        <r>
          <rPr>
            <sz val="9"/>
            <color indexed="81"/>
            <rFont val="Tahoma"/>
            <family val="2"/>
          </rPr>
          <t>Solver found a solution. All constraints and optimality conditions are satisfied.</t>
        </r>
      </text>
    </comment>
    <comment ref="E13" authorId="0" shapeId="0" xr:uid="{4A41CF7E-34B4-47D4-B68D-670B7B60B759}">
      <text>
        <r>
          <rPr>
            <sz val="9"/>
            <color indexed="81"/>
            <rFont val="Tahoma"/>
            <family val="2"/>
          </rPr>
          <t>Solver found an integer solution within tolerance. All constraints are satisfied.</t>
        </r>
      </text>
    </comment>
    <comment ref="F13" authorId="0" shapeId="0" xr:uid="{39A642AF-4E7A-4D40-B4AC-7728AF892837}">
      <text>
        <r>
          <rPr>
            <sz val="9"/>
            <color indexed="81"/>
            <rFont val="Tahoma"/>
            <family val="2"/>
          </rPr>
          <t>Solver found an integer solution within tolerance. All constraints are satisfied.</t>
        </r>
      </text>
    </comment>
    <comment ref="G13" authorId="0" shapeId="0" xr:uid="{75732BB3-3EFA-4AB3-B155-95D01628C46A}">
      <text>
        <r>
          <rPr>
            <sz val="9"/>
            <color indexed="81"/>
            <rFont val="Tahoma"/>
            <family val="2"/>
          </rPr>
          <t>Solver found an integer solution within tolerance. All constraints are satisfied.</t>
        </r>
      </text>
    </comment>
    <comment ref="B14" authorId="0" shapeId="0" xr:uid="{0BDEDB3D-71F2-444C-BAB6-81B5887E73F2}">
      <text>
        <r>
          <rPr>
            <sz val="9"/>
            <color indexed="81"/>
            <rFont val="Tahoma"/>
            <family val="2"/>
          </rPr>
          <t>Solver found a solution. All constraints and optimality conditions are satisfied.</t>
        </r>
      </text>
    </comment>
    <comment ref="C14" authorId="0" shapeId="0" xr:uid="{78A4ACAA-65A5-4506-8DA1-4337C40C76E9}">
      <text>
        <r>
          <rPr>
            <sz val="9"/>
            <color indexed="81"/>
            <rFont val="Tahoma"/>
            <family val="2"/>
          </rPr>
          <t>Solver found a solution. All constraints and optimality conditions are satisfied.</t>
        </r>
      </text>
    </comment>
    <comment ref="D14" authorId="0" shapeId="0" xr:uid="{5E099F97-55FA-4084-A62C-67F3A264C1E8}">
      <text>
        <r>
          <rPr>
            <sz val="9"/>
            <color indexed="81"/>
            <rFont val="Tahoma"/>
            <family val="2"/>
          </rPr>
          <t>Solver found a solution. All constraints and optimality conditions are satisfied.</t>
        </r>
      </text>
    </comment>
    <comment ref="E14" authorId="0" shapeId="0" xr:uid="{C87FBA34-3A02-4029-8F68-A4667AAD135F}">
      <text>
        <r>
          <rPr>
            <sz val="9"/>
            <color indexed="81"/>
            <rFont val="Tahoma"/>
            <family val="2"/>
          </rPr>
          <t>Solver found a solution. All constraints and optimality conditions are satisfied.</t>
        </r>
      </text>
    </comment>
    <comment ref="F14" authorId="0" shapeId="0" xr:uid="{0A6292A4-2E7D-4846-9EB0-D32E47BAFA86}">
      <text>
        <r>
          <rPr>
            <sz val="9"/>
            <color indexed="81"/>
            <rFont val="Tahoma"/>
            <family val="2"/>
          </rPr>
          <t>Solver found an integer solution within tolerance. All constraints are satisfied.</t>
        </r>
      </text>
    </comment>
    <comment ref="G14" authorId="0" shapeId="0" xr:uid="{4B3AD560-1832-45AA-94F4-2DA1A8169FF3}">
      <text>
        <r>
          <rPr>
            <sz val="9"/>
            <color rgb="FF000000"/>
            <rFont val="Tahoma"/>
            <family val="2"/>
          </rPr>
          <t>Solver found an integer solution within tolerance. All constraints are satisfied.</t>
        </r>
      </text>
    </comment>
    <comment ref="B15" authorId="0" shapeId="0" xr:uid="{209640E3-F7D9-427F-A20D-FEA2203A5065}">
      <text>
        <r>
          <rPr>
            <sz val="9"/>
            <color indexed="81"/>
            <rFont val="Tahoma"/>
            <family val="2"/>
          </rPr>
          <t>Solver found a solution. All constraints and optimality conditions are satisfied.</t>
        </r>
      </text>
    </comment>
    <comment ref="C15" authorId="0" shapeId="0" xr:uid="{08D94380-A4A7-4E92-A105-925C218D5EDF}">
      <text>
        <r>
          <rPr>
            <sz val="9"/>
            <color indexed="81"/>
            <rFont val="Tahoma"/>
            <family val="2"/>
          </rPr>
          <t>Solver found a solution. All constraints and optimality conditions are satisfied.</t>
        </r>
      </text>
    </comment>
    <comment ref="D15" authorId="0" shapeId="0" xr:uid="{C60136CB-80FF-4F56-A7A5-3E9801780692}">
      <text>
        <r>
          <rPr>
            <sz val="9"/>
            <color indexed="81"/>
            <rFont val="Tahoma"/>
            <family val="2"/>
          </rPr>
          <t>Solver found a solution. All constraints and optimality conditions are satisfied.</t>
        </r>
      </text>
    </comment>
    <comment ref="E15" authorId="0" shapeId="0" xr:uid="{1D828A1E-8D15-430B-933F-0C7D8172C918}">
      <text>
        <r>
          <rPr>
            <sz val="9"/>
            <color indexed="81"/>
            <rFont val="Tahoma"/>
            <family val="2"/>
          </rPr>
          <t>Solver found a solution. All constraints and optimality conditions are satisfied.</t>
        </r>
      </text>
    </comment>
    <comment ref="F15" authorId="0" shapeId="0" xr:uid="{63B0350B-3011-4A65-8121-A8D2FD57C19B}">
      <text>
        <r>
          <rPr>
            <sz val="9"/>
            <color indexed="81"/>
            <rFont val="Tahoma"/>
            <family val="2"/>
          </rPr>
          <t>Solver found a solution. All constraints and optimality conditions are satisfied.</t>
        </r>
      </text>
    </comment>
    <comment ref="G15" authorId="0" shapeId="0" xr:uid="{D153F82C-A822-43C7-8474-D6D02550563D}">
      <text>
        <r>
          <rPr>
            <sz val="9"/>
            <color indexed="81"/>
            <rFont val="Tahoma"/>
            <family val="2"/>
          </rPr>
          <t>Solver found a solution. All constraints and optimality conditions are satisfied.</t>
        </r>
      </text>
    </comment>
    <comment ref="B16" authorId="0" shapeId="0" xr:uid="{0E5E012A-9431-443E-928F-602EAED436B5}">
      <text>
        <r>
          <rPr>
            <sz val="9"/>
            <color indexed="81"/>
            <rFont val="Tahoma"/>
            <family val="2"/>
          </rPr>
          <t>Solver found a solution. All constraints and optimality conditions are satisfied.</t>
        </r>
      </text>
    </comment>
    <comment ref="C16" authorId="0" shapeId="0" xr:uid="{AF7B2372-3875-400B-B8F7-47DFAE1D5ED2}">
      <text>
        <r>
          <rPr>
            <sz val="9"/>
            <color indexed="81"/>
            <rFont val="Tahoma"/>
            <family val="2"/>
          </rPr>
          <t>Solver found a solution. All constraints and optimality conditions are satisfied.</t>
        </r>
      </text>
    </comment>
    <comment ref="D16" authorId="0" shapeId="0" xr:uid="{D6E76E85-5CA3-4D26-892A-869CF045C341}">
      <text>
        <r>
          <rPr>
            <sz val="9"/>
            <color indexed="81"/>
            <rFont val="Tahoma"/>
            <family val="2"/>
          </rPr>
          <t>Solver found a solution. All constraints and optimality conditions are satisfied.</t>
        </r>
      </text>
    </comment>
    <comment ref="E16" authorId="0" shapeId="0" xr:uid="{77378F35-E1FB-4E2A-ADCF-DC8319BCE410}">
      <text>
        <r>
          <rPr>
            <sz val="9"/>
            <color indexed="81"/>
            <rFont val="Tahoma"/>
            <family val="2"/>
          </rPr>
          <t>Solver found a solution. All constraints and optimality conditions are satisfied.</t>
        </r>
      </text>
    </comment>
    <comment ref="F16" authorId="0" shapeId="0" xr:uid="{1F10EAA2-811D-4F51-80E8-4B9570F52C1F}">
      <text>
        <r>
          <rPr>
            <sz val="9"/>
            <color indexed="81"/>
            <rFont val="Tahoma"/>
            <family val="2"/>
          </rPr>
          <t>Solver found a solution. All constraints and optimality conditions are satisfied.</t>
        </r>
      </text>
    </comment>
    <comment ref="G16" authorId="0" shapeId="0" xr:uid="{BED2B427-F0B8-4DDC-8D11-7A284FCA1163}">
      <text>
        <r>
          <rPr>
            <sz val="9"/>
            <color indexed="81"/>
            <rFont val="Tahoma"/>
            <family val="2"/>
          </rPr>
          <t>Solver found a solution. All constraints and optimality conditions are satisfied.</t>
        </r>
      </text>
    </comment>
    <comment ref="B17" authorId="0" shapeId="0" xr:uid="{72EEF386-F7E2-4437-AE12-2000EC6E9D2C}">
      <text>
        <r>
          <rPr>
            <sz val="9"/>
            <color indexed="81"/>
            <rFont val="Tahoma"/>
            <family val="2"/>
          </rPr>
          <t>Solver found a solution. All constraints and optimality conditions are satisfied.</t>
        </r>
      </text>
    </comment>
    <comment ref="C17" authorId="0" shapeId="0" xr:uid="{12357737-A2EF-4FE0-B8DA-EB7398B38C1B}">
      <text>
        <r>
          <rPr>
            <sz val="9"/>
            <color indexed="81"/>
            <rFont val="Tahoma"/>
            <family val="2"/>
          </rPr>
          <t>Solver found a solution. All constraints and optimality conditions are satisfied.</t>
        </r>
      </text>
    </comment>
    <comment ref="D17" authorId="0" shapeId="0" xr:uid="{1BAC4925-BFEC-4287-9171-7691ADDD9A2D}">
      <text>
        <r>
          <rPr>
            <sz val="9"/>
            <color indexed="81"/>
            <rFont val="Tahoma"/>
            <family val="2"/>
          </rPr>
          <t>Solver found a solution. All constraints and optimality conditions are satisfied.</t>
        </r>
      </text>
    </comment>
    <comment ref="E17" authorId="0" shapeId="0" xr:uid="{DDFCE15C-D258-4FA4-8C69-1A0AEDD1A6A8}">
      <text>
        <r>
          <rPr>
            <sz val="9"/>
            <color rgb="FF000000"/>
            <rFont val="Tahoma"/>
            <family val="2"/>
          </rPr>
          <t>Solver found a solution. All constraints and optimality conditions are satisfied.</t>
        </r>
      </text>
    </comment>
    <comment ref="F17" authorId="0" shapeId="0" xr:uid="{37369780-25FA-4D14-8C3F-AB1D7A780F23}">
      <text>
        <r>
          <rPr>
            <sz val="9"/>
            <color indexed="81"/>
            <rFont val="Tahoma"/>
            <family val="2"/>
          </rPr>
          <t>Solver found a solution. All constraints and optimality conditions are satisfied.</t>
        </r>
      </text>
    </comment>
    <comment ref="G17" authorId="0" shapeId="0" xr:uid="{530D5DD3-6AF4-4E99-B72B-76148CA63FF7}">
      <text>
        <r>
          <rPr>
            <sz val="9"/>
            <color indexed="81"/>
            <rFont val="Tahoma"/>
            <family val="2"/>
          </rPr>
          <t>Solver found a solution. All constraints and optimality conditions are satisfied.</t>
        </r>
      </text>
    </comment>
    <comment ref="B18" authorId="0" shapeId="0" xr:uid="{B4B5DCA5-05DB-4C56-9BA2-50B12C4E24CC}">
      <text>
        <r>
          <rPr>
            <sz val="9"/>
            <color indexed="81"/>
            <rFont val="Tahoma"/>
            <family val="2"/>
          </rPr>
          <t>Solver found a solution. All constraints and optimality conditions are satisfied.</t>
        </r>
      </text>
    </comment>
    <comment ref="C18" authorId="0" shapeId="0" xr:uid="{8A1FE099-DC8A-448C-859D-F04D9FC00BE3}">
      <text>
        <r>
          <rPr>
            <sz val="9"/>
            <color indexed="81"/>
            <rFont val="Tahoma"/>
            <family val="2"/>
          </rPr>
          <t>Solver found a solution. All constraints and optimality conditions are satisfied.</t>
        </r>
      </text>
    </comment>
    <comment ref="D18" authorId="0" shapeId="0" xr:uid="{D41EFBED-81C8-4A54-B751-A06B4EF3B8F2}">
      <text>
        <r>
          <rPr>
            <sz val="9"/>
            <color indexed="81"/>
            <rFont val="Tahoma"/>
            <family val="2"/>
          </rPr>
          <t>Solver found a solution. All constraints and optimality conditions are satisfied.</t>
        </r>
      </text>
    </comment>
    <comment ref="E18" authorId="0" shapeId="0" xr:uid="{FF8E2A5E-CF9E-4078-AC55-A6C56C3AA054}">
      <text>
        <r>
          <rPr>
            <sz val="9"/>
            <color indexed="81"/>
            <rFont val="Tahoma"/>
            <family val="2"/>
          </rPr>
          <t>Solver found a solution. All constraints and optimality conditions are satisfied.</t>
        </r>
      </text>
    </comment>
    <comment ref="F18" authorId="0" shapeId="0" xr:uid="{F47E2C6D-8335-44EB-868F-5C5D2BDA0C36}">
      <text>
        <r>
          <rPr>
            <sz val="9"/>
            <color indexed="81"/>
            <rFont val="Tahoma"/>
            <family val="2"/>
          </rPr>
          <t>Solver found a solution. All constraints and optimality conditions are satisfied.</t>
        </r>
      </text>
    </comment>
    <comment ref="G18" authorId="0" shapeId="0" xr:uid="{4734D328-463E-4824-8A07-A0D35B9D004A}">
      <text>
        <r>
          <rPr>
            <sz val="9"/>
            <color indexed="81"/>
            <rFont val="Tahoma"/>
            <family val="2"/>
          </rPr>
          <t>Solver found a solution. All constraints and optimality conditions are satisfied.</t>
        </r>
      </text>
    </comment>
    <comment ref="B19" authorId="0" shapeId="0" xr:uid="{8779E800-852A-4563-8D2B-D2A11AC522A0}">
      <text>
        <r>
          <rPr>
            <sz val="9"/>
            <color rgb="FF000000"/>
            <rFont val="Tahoma"/>
            <family val="2"/>
          </rPr>
          <t>Solver found a solution. All constraints and optimality conditions are satisfied.</t>
        </r>
      </text>
    </comment>
    <comment ref="C19" authorId="0" shapeId="0" xr:uid="{16B5131F-D45B-4BEA-AB5F-14D4B82397CB}">
      <text>
        <r>
          <rPr>
            <sz val="9"/>
            <color indexed="81"/>
            <rFont val="Tahoma"/>
            <family val="2"/>
          </rPr>
          <t>Solver found a solution. All constraints and optimality conditions are satisfied.</t>
        </r>
      </text>
    </comment>
    <comment ref="D19" authorId="0" shapeId="0" xr:uid="{8461EFB8-1E43-4A4A-9BBF-D15EE29D259A}">
      <text>
        <r>
          <rPr>
            <sz val="9"/>
            <color rgb="FF000000"/>
            <rFont val="Tahoma"/>
            <family val="2"/>
          </rPr>
          <t>Solver found a solution. All constraints and optimality conditions are satisfied.</t>
        </r>
      </text>
    </comment>
    <comment ref="E19" authorId="0" shapeId="0" xr:uid="{59FF9A73-91A6-4904-BA18-F8B7545AAFB9}">
      <text>
        <r>
          <rPr>
            <sz val="9"/>
            <color indexed="81"/>
            <rFont val="Tahoma"/>
            <family val="2"/>
          </rPr>
          <t>Solver found a solution. All constraints and optimality conditions are satisfied.</t>
        </r>
      </text>
    </comment>
    <comment ref="F19" authorId="0" shapeId="0" xr:uid="{0BD4B2EF-7D9D-424A-9B29-D64D24D21C16}">
      <text>
        <r>
          <rPr>
            <sz val="9"/>
            <color indexed="81"/>
            <rFont val="Tahoma"/>
            <family val="2"/>
          </rPr>
          <t>Solver found a solution. All constraints and optimality conditions are satisfied.</t>
        </r>
      </text>
    </comment>
    <comment ref="G19" authorId="0" shapeId="0" xr:uid="{E1ECD65A-5ACF-43D9-B6A1-120A2B31E5AD}">
      <text>
        <r>
          <rPr>
            <sz val="9"/>
            <color indexed="81"/>
            <rFont val="Tahoma"/>
            <family val="2"/>
          </rPr>
          <t>Solver found a solution. All constraints and optimality conditions are satisfied.</t>
        </r>
      </text>
    </comment>
    <comment ref="B20" authorId="0" shapeId="0" xr:uid="{44300DBF-EE55-4912-AAC2-6C6D3CC8D1B4}">
      <text>
        <r>
          <rPr>
            <sz val="9"/>
            <color indexed="81"/>
            <rFont val="Tahoma"/>
            <family val="2"/>
          </rPr>
          <t>Solver found an integer solution within tolerance. All constraints are satisfied.</t>
        </r>
      </text>
    </comment>
    <comment ref="C20" authorId="0" shapeId="0" xr:uid="{CAD380C4-8E33-42C8-A1DF-E9F622C1CEE9}">
      <text>
        <r>
          <rPr>
            <sz val="9"/>
            <color indexed="81"/>
            <rFont val="Tahoma"/>
            <family val="2"/>
          </rPr>
          <t>Solver found a solution. All constraints and optimality conditions are satisfied.</t>
        </r>
      </text>
    </comment>
    <comment ref="D20" authorId="0" shapeId="0" xr:uid="{F3422544-C8FD-4F52-B461-54A62315DEAB}">
      <text>
        <r>
          <rPr>
            <sz val="9"/>
            <color indexed="81"/>
            <rFont val="Tahoma"/>
            <family val="2"/>
          </rPr>
          <t>Solver found a solution. All constraints and optimality conditions are satisfied.</t>
        </r>
      </text>
    </comment>
    <comment ref="E20" authorId="0" shapeId="0" xr:uid="{BC7DD27F-23FA-4CA4-A4BD-F0ABD5515CED}">
      <text>
        <r>
          <rPr>
            <sz val="9"/>
            <color indexed="81"/>
            <rFont val="Tahoma"/>
            <family val="2"/>
          </rPr>
          <t>Solver found a solution. All constraints and optimality conditions are satisfied.</t>
        </r>
      </text>
    </comment>
    <comment ref="F20" authorId="0" shapeId="0" xr:uid="{E5D9437E-084B-489B-B036-60764B908719}">
      <text>
        <r>
          <rPr>
            <sz val="9"/>
            <color indexed="81"/>
            <rFont val="Tahoma"/>
            <family val="2"/>
          </rPr>
          <t>Solver found a solution. All constraints and optimality conditions are satisfied.</t>
        </r>
      </text>
    </comment>
    <comment ref="G20" authorId="0" shapeId="0" xr:uid="{FB04D447-F0D8-4F00-875F-896F77C36883}">
      <text>
        <r>
          <rPr>
            <sz val="9"/>
            <color indexed="81"/>
            <rFont val="Tahoma"/>
            <family val="2"/>
          </rPr>
          <t>Solver found a solution. All constraints and optimality conditions are satisfied.</t>
        </r>
      </text>
    </comment>
    <comment ref="B21" authorId="0" shapeId="0" xr:uid="{0D66E77E-A258-4029-9543-E481DBC8F208}">
      <text>
        <r>
          <rPr>
            <sz val="9"/>
            <color indexed="81"/>
            <rFont val="Tahoma"/>
            <family val="2"/>
          </rPr>
          <t>Solver found an integer solution within tolerance. All constraints are satisfied.</t>
        </r>
      </text>
    </comment>
    <comment ref="C21" authorId="0" shapeId="0" xr:uid="{4A397543-9761-4E17-B230-BB55638F63EB}">
      <text>
        <r>
          <rPr>
            <sz val="9"/>
            <color indexed="81"/>
            <rFont val="Tahoma"/>
            <family val="2"/>
          </rPr>
          <t>Solver found an integer solution within tolerance. All constraints are satisfied.</t>
        </r>
      </text>
    </comment>
    <comment ref="D21" authorId="0" shapeId="0" xr:uid="{3AFA55CA-2795-4B81-87EA-48F251FD239B}">
      <text>
        <r>
          <rPr>
            <sz val="9"/>
            <color indexed="81"/>
            <rFont val="Tahoma"/>
            <family val="2"/>
          </rPr>
          <t>Solver found a solution. All constraints and optimality conditions are satisfied.</t>
        </r>
      </text>
    </comment>
    <comment ref="E21" authorId="0" shapeId="0" xr:uid="{3BC31960-106E-4AD5-B845-BC826004FE2A}">
      <text>
        <r>
          <rPr>
            <sz val="9"/>
            <color indexed="81"/>
            <rFont val="Tahoma"/>
            <family val="2"/>
          </rPr>
          <t>Solver found a solution. All constraints and optimality conditions are satisfied.</t>
        </r>
      </text>
    </comment>
    <comment ref="F21" authorId="0" shapeId="0" xr:uid="{B6E6C11B-D808-4F0F-8C59-E2BD73C2125F}">
      <text>
        <r>
          <rPr>
            <sz val="9"/>
            <color indexed="81"/>
            <rFont val="Tahoma"/>
            <family val="2"/>
          </rPr>
          <t>Solver found a solution. All constraints and optimality conditions are satisfied.</t>
        </r>
      </text>
    </comment>
    <comment ref="G21" authorId="0" shapeId="0" xr:uid="{682C1A4B-54E0-422F-BE90-2D4B7D09CCD6}">
      <text>
        <r>
          <rPr>
            <sz val="9"/>
            <color indexed="81"/>
            <rFont val="Tahoma"/>
            <family val="2"/>
          </rPr>
          <t>Solver found a solution. All constraints and optimality conditions are satisfied.</t>
        </r>
      </text>
    </comment>
    <comment ref="B22" authorId="0" shapeId="0" xr:uid="{08E7CCF0-C2A0-4896-B0C6-44A48A29CDD0}">
      <text>
        <r>
          <rPr>
            <sz val="9"/>
            <color rgb="FF000000"/>
            <rFont val="Tahoma"/>
            <family val="2"/>
          </rPr>
          <t>Solver found an integer solution within tolerance. All constraints are satisfied.</t>
        </r>
      </text>
    </comment>
    <comment ref="C22" authorId="0" shapeId="0" xr:uid="{E98AC758-EE37-437E-B93B-F760883EC1C8}">
      <text>
        <r>
          <rPr>
            <sz val="9"/>
            <color indexed="81"/>
            <rFont val="Tahoma"/>
            <family val="2"/>
          </rPr>
          <t>Solver found an integer solution within tolerance. All constraints are satisfied.</t>
        </r>
      </text>
    </comment>
    <comment ref="D22" authorId="0" shapeId="0" xr:uid="{D890BF94-0B31-4421-9C74-C35D829FBC25}">
      <text>
        <r>
          <rPr>
            <sz val="9"/>
            <color indexed="81"/>
            <rFont val="Tahoma"/>
            <family val="2"/>
          </rPr>
          <t>Solver found an integer solution within tolerance. All constraints are satisfied.</t>
        </r>
      </text>
    </comment>
    <comment ref="E22" authorId="0" shapeId="0" xr:uid="{DE53DF19-D2F0-4848-B3F0-34DCA1FE2816}">
      <text>
        <r>
          <rPr>
            <sz val="9"/>
            <color indexed="81"/>
            <rFont val="Tahoma"/>
            <family val="2"/>
          </rPr>
          <t>Solver found a solution. All constraints and optimality conditions are satisfied.</t>
        </r>
      </text>
    </comment>
    <comment ref="F22" authorId="0" shapeId="0" xr:uid="{B063259C-6EBF-455C-A6CB-D34AE1E4929A}">
      <text>
        <r>
          <rPr>
            <sz val="9"/>
            <color indexed="81"/>
            <rFont val="Tahoma"/>
            <family val="2"/>
          </rPr>
          <t>Solver found a solution. All constraints and optimality conditions are satisfied.</t>
        </r>
      </text>
    </comment>
    <comment ref="G22" authorId="0" shapeId="0" xr:uid="{53E75546-CFE8-44C1-91AF-484003D77C96}">
      <text>
        <r>
          <rPr>
            <sz val="9"/>
            <color indexed="81"/>
            <rFont val="Tahoma"/>
            <family val="2"/>
          </rPr>
          <t>Solver found a solution. All constraints and optimality conditions are satisfied.</t>
        </r>
      </text>
    </comment>
    <comment ref="B23" authorId="0" shapeId="0" xr:uid="{BDA866F8-D101-4993-9D26-BA310C7815CF}">
      <text>
        <r>
          <rPr>
            <sz val="9"/>
            <color indexed="81"/>
            <rFont val="Tahoma"/>
            <family val="2"/>
          </rPr>
          <t>Solver found an integer solution within tolerance. All constraints are satisfied.</t>
        </r>
      </text>
    </comment>
    <comment ref="C23" authorId="0" shapeId="0" xr:uid="{9E793517-B5AF-42EB-A407-E4E59F41233F}">
      <text>
        <r>
          <rPr>
            <sz val="9"/>
            <color indexed="81"/>
            <rFont val="Tahoma"/>
            <family val="2"/>
          </rPr>
          <t>Solver found an integer solution within tolerance. All constraints are satisfied.</t>
        </r>
      </text>
    </comment>
    <comment ref="D23" authorId="0" shapeId="0" xr:uid="{AEEA51CB-DB99-4427-826F-BCEA0DF57106}">
      <text>
        <r>
          <rPr>
            <sz val="9"/>
            <color indexed="81"/>
            <rFont val="Tahoma"/>
            <family val="2"/>
          </rPr>
          <t>Solver found an integer solution within tolerance. All constraints are satisfied.</t>
        </r>
      </text>
    </comment>
    <comment ref="E23" authorId="0" shapeId="0" xr:uid="{F2F599AD-B1F3-432C-AC46-87E2AE4F25C0}">
      <text>
        <r>
          <rPr>
            <sz val="9"/>
            <color indexed="81"/>
            <rFont val="Tahoma"/>
            <family val="2"/>
          </rPr>
          <t>Solver found a solution. All constraints and optimality conditions are satisfied.</t>
        </r>
      </text>
    </comment>
    <comment ref="F23" authorId="0" shapeId="0" xr:uid="{05797034-EE66-4F32-8053-8BCEBE382622}">
      <text>
        <r>
          <rPr>
            <sz val="9"/>
            <color indexed="81"/>
            <rFont val="Tahoma"/>
            <family val="2"/>
          </rPr>
          <t>Solver found a solution. All constraints and optimality conditions are satisfied.</t>
        </r>
      </text>
    </comment>
    <comment ref="G23" authorId="0" shapeId="0" xr:uid="{366F6917-DDE7-4E53-AD57-94DA9087A542}">
      <text>
        <r>
          <rPr>
            <sz val="9"/>
            <color indexed="81"/>
            <rFont val="Tahoma"/>
            <family val="2"/>
          </rPr>
          <t>Solver found a solution. All constraints and optimality conditions are satisfied.</t>
        </r>
      </text>
    </comment>
    <comment ref="B24" authorId="0" shapeId="0" xr:uid="{70981C40-690A-4EB6-807C-F13512433003}">
      <text>
        <r>
          <rPr>
            <sz val="9"/>
            <color indexed="81"/>
            <rFont val="Tahoma"/>
            <family val="2"/>
          </rPr>
          <t>Solver found a solution. All constraints and optimality conditions are satisfied.</t>
        </r>
      </text>
    </comment>
    <comment ref="C24" authorId="0" shapeId="0" xr:uid="{0661ED93-D2E5-40E8-A26D-6217D74A8611}">
      <text>
        <r>
          <rPr>
            <sz val="9"/>
            <color indexed="81"/>
            <rFont val="Tahoma"/>
            <family val="2"/>
          </rPr>
          <t>Solver found an integer solution within tolerance. All constraints are satisfied.</t>
        </r>
      </text>
    </comment>
    <comment ref="D24" authorId="0" shapeId="0" xr:uid="{D89A1E75-38FC-4AB8-97D6-4C8AA54340AD}">
      <text>
        <r>
          <rPr>
            <sz val="9"/>
            <color indexed="81"/>
            <rFont val="Tahoma"/>
            <family val="2"/>
          </rPr>
          <t>Solver found an integer solution within tolerance. All constraints are satisfied.</t>
        </r>
      </text>
    </comment>
    <comment ref="E24" authorId="0" shapeId="0" xr:uid="{A393489B-1BC1-46A5-B27D-F25295CEC364}">
      <text>
        <r>
          <rPr>
            <sz val="9"/>
            <color indexed="81"/>
            <rFont val="Tahoma"/>
            <family val="2"/>
          </rPr>
          <t>Solver found an integer solution within tolerance. All constraints are satisfied.</t>
        </r>
      </text>
    </comment>
    <comment ref="F24" authorId="0" shapeId="0" xr:uid="{F4F6E20C-8277-40DA-84FE-3EE54B31EA53}">
      <text>
        <r>
          <rPr>
            <sz val="9"/>
            <color indexed="81"/>
            <rFont val="Tahoma"/>
            <family val="2"/>
          </rPr>
          <t>Solver found a solution. All constraints and optimality conditions are satisfied.</t>
        </r>
      </text>
    </comment>
    <comment ref="G24" authorId="0" shapeId="0" xr:uid="{9D9AE036-F23F-4BE3-937B-C43EE8A00E75}">
      <text>
        <r>
          <rPr>
            <sz val="9"/>
            <color indexed="81"/>
            <rFont val="Tahoma"/>
            <family val="2"/>
          </rPr>
          <t>Solver found a solution. All constraints and optimality conditions are satisfied.</t>
        </r>
      </text>
    </comment>
    <comment ref="B25" authorId="0" shapeId="0" xr:uid="{65DE7B67-E70D-4273-83C1-C5ED3D1BDE0C}">
      <text>
        <r>
          <rPr>
            <sz val="9"/>
            <color indexed="81"/>
            <rFont val="Tahoma"/>
            <family val="2"/>
          </rPr>
          <t>Solver found a solution. All constraints and optimality conditions are satisfied.</t>
        </r>
      </text>
    </comment>
    <comment ref="C25" authorId="0" shapeId="0" xr:uid="{461F32C6-979B-4F3B-A112-960453B38301}">
      <text>
        <r>
          <rPr>
            <sz val="9"/>
            <color indexed="81"/>
            <rFont val="Tahoma"/>
            <family val="2"/>
          </rPr>
          <t>Solver found an integer solution within tolerance. All constraints are satisfied.</t>
        </r>
      </text>
    </comment>
    <comment ref="D25" authorId="0" shapeId="0" xr:uid="{AFB0D83E-0A2F-4D1D-B08E-ACE6DA43DFCA}">
      <text>
        <r>
          <rPr>
            <sz val="9"/>
            <color indexed="81"/>
            <rFont val="Tahoma"/>
            <family val="2"/>
          </rPr>
          <t>Solver found an integer solution within tolerance. All constraints are satisfied.</t>
        </r>
      </text>
    </comment>
    <comment ref="E25" authorId="0" shapeId="0" xr:uid="{483C252B-DAB9-4D17-B474-746B3ECF2C2A}">
      <text>
        <r>
          <rPr>
            <sz val="9"/>
            <color indexed="81"/>
            <rFont val="Tahoma"/>
            <family val="2"/>
          </rPr>
          <t>Solver found an integer solution within tolerance. All constraints are satisfied.</t>
        </r>
      </text>
    </comment>
    <comment ref="F25" authorId="0" shapeId="0" xr:uid="{E01F9FF6-D061-4162-8630-7AB683C682A7}">
      <text>
        <r>
          <rPr>
            <sz val="9"/>
            <color indexed="81"/>
            <rFont val="Tahoma"/>
            <family val="2"/>
          </rPr>
          <t>Solver found an integer solution within tolerance. All constraints are satisfied.</t>
        </r>
      </text>
    </comment>
    <comment ref="G25" authorId="0" shapeId="0" xr:uid="{A3DB948F-B47E-4647-B589-FF5981197CBD}">
      <text>
        <r>
          <rPr>
            <sz val="9"/>
            <color rgb="FF000000"/>
            <rFont val="Tahoma"/>
            <family val="2"/>
          </rPr>
          <t>Solver found a solution. All constraints and optimality conditions are satisfied.</t>
        </r>
      </text>
    </comment>
    <comment ref="B26" authorId="0" shapeId="0" xr:uid="{9374462F-CDFF-4A3A-9045-E0DCF0BD3CB4}">
      <text>
        <r>
          <rPr>
            <sz val="9"/>
            <color indexed="81"/>
            <rFont val="Tahoma"/>
            <family val="2"/>
          </rPr>
          <t>Solver found a solution. All constraints and optimality conditions are satisfied.</t>
        </r>
      </text>
    </comment>
    <comment ref="C26" authorId="0" shapeId="0" xr:uid="{2D3D4D13-7A7D-45F5-9018-C44BC1F7B329}">
      <text>
        <r>
          <rPr>
            <sz val="9"/>
            <color indexed="81"/>
            <rFont val="Tahoma"/>
            <family val="2"/>
          </rPr>
          <t>Solver found a solution. All constraints and optimality conditions are satisfied.</t>
        </r>
      </text>
    </comment>
    <comment ref="D26" authorId="0" shapeId="0" xr:uid="{47E2B872-37BB-49D6-AF08-7A2F3E62E2A8}">
      <text>
        <r>
          <rPr>
            <sz val="9"/>
            <color indexed="81"/>
            <rFont val="Tahoma"/>
            <family val="2"/>
          </rPr>
          <t>Solver found an integer solution within tolerance. All constraints are satisfied.</t>
        </r>
      </text>
    </comment>
    <comment ref="E26" authorId="0" shapeId="0" xr:uid="{7BE831D2-1404-4501-BFDF-7534A76C34D8}">
      <text>
        <r>
          <rPr>
            <sz val="9"/>
            <color indexed="81"/>
            <rFont val="Tahoma"/>
            <family val="2"/>
          </rPr>
          <t>Solver found an integer solution within tolerance. All constraints are satisfied.</t>
        </r>
      </text>
    </comment>
    <comment ref="F26" authorId="0" shapeId="0" xr:uid="{A05889C5-6691-4EE7-952A-757DDF7AB03C}">
      <text>
        <r>
          <rPr>
            <sz val="9"/>
            <color indexed="81"/>
            <rFont val="Tahoma"/>
            <family val="2"/>
          </rPr>
          <t>Solver found an integer solution within tolerance. All constraints are satisfied.</t>
        </r>
      </text>
    </comment>
    <comment ref="G26" authorId="0" shapeId="0" xr:uid="{F52728C3-EB00-4508-8A76-8F0EF5F7C863}">
      <text>
        <r>
          <rPr>
            <sz val="9"/>
            <color indexed="81"/>
            <rFont val="Tahoma"/>
            <family val="2"/>
          </rPr>
          <t>Solver found a solution. All constraints and optimality conditions are satisfied.</t>
        </r>
      </text>
    </comment>
    <comment ref="B27" authorId="0" shapeId="0" xr:uid="{BC1F5A6C-4077-4F20-9CB8-FF16C903026D}">
      <text>
        <r>
          <rPr>
            <sz val="9"/>
            <color indexed="81"/>
            <rFont val="Tahoma"/>
            <family val="2"/>
          </rPr>
          <t>Solver found a solution. All constraints and optimality conditions are satisfied.</t>
        </r>
      </text>
    </comment>
    <comment ref="C27" authorId="0" shapeId="0" xr:uid="{CCBB7A10-36F0-41B5-8579-26116F6E580C}">
      <text>
        <r>
          <rPr>
            <sz val="9"/>
            <color indexed="81"/>
            <rFont val="Tahoma"/>
            <family val="2"/>
          </rPr>
          <t>Solver found a solution. All constraints and optimality conditions are satisfied.</t>
        </r>
      </text>
    </comment>
    <comment ref="D27" authorId="0" shapeId="0" xr:uid="{E507CC44-7629-45A5-8A8E-4C59F9AFC827}">
      <text>
        <r>
          <rPr>
            <sz val="9"/>
            <color indexed="81"/>
            <rFont val="Tahoma"/>
            <family val="2"/>
          </rPr>
          <t>Solver found an integer solution within tolerance. All constraints are satisfied.</t>
        </r>
      </text>
    </comment>
    <comment ref="E27" authorId="0" shapeId="0" xr:uid="{438323FF-33C5-404D-9CBF-6BD1B81339AC}">
      <text>
        <r>
          <rPr>
            <sz val="9"/>
            <color indexed="81"/>
            <rFont val="Tahoma"/>
            <family val="2"/>
          </rPr>
          <t>Solver found an integer solution within tolerance. All constraints are satisfied.</t>
        </r>
      </text>
    </comment>
    <comment ref="F27" authorId="0" shapeId="0" xr:uid="{F0BB08F6-0205-445A-AD8E-9D08B05B05E3}">
      <text>
        <r>
          <rPr>
            <sz val="9"/>
            <color indexed="81"/>
            <rFont val="Tahoma"/>
            <family val="2"/>
          </rPr>
          <t>Solver found an integer solution within tolerance. All constraints are satisfied.</t>
        </r>
      </text>
    </comment>
    <comment ref="G27" authorId="0" shapeId="0" xr:uid="{56D831A2-A7DD-417C-A41F-28CD1B0D1AFB}">
      <text>
        <r>
          <rPr>
            <sz val="9"/>
            <color indexed="81"/>
            <rFont val="Tahoma"/>
            <family val="2"/>
          </rPr>
          <t>Solver found an integer solution within tolerance. All constraints are satisfied.</t>
        </r>
      </text>
    </comment>
    <comment ref="B30" authorId="0" shapeId="0" xr:uid="{E42BBB5A-2D9E-4E91-A280-2459C886F764}">
      <text>
        <r>
          <rPr>
            <sz val="9"/>
            <color indexed="81"/>
            <rFont val="Tahoma"/>
            <family val="2"/>
          </rPr>
          <t>Solver found a solution. All constraints and optimality conditions are satisfied.</t>
        </r>
      </text>
    </comment>
    <comment ref="C30" authorId="0" shapeId="0" xr:uid="{82F3001C-5D4B-48EC-8CD3-A00CCE5E7EAE}">
      <text>
        <r>
          <rPr>
            <sz val="9"/>
            <color indexed="81"/>
            <rFont val="Tahoma"/>
            <family val="2"/>
          </rPr>
          <t>Solver found a solution. All constraints and optimality conditions are satisfied.</t>
        </r>
      </text>
    </comment>
    <comment ref="D30" authorId="0" shapeId="0" xr:uid="{EA6FC381-58B2-46F0-BAC9-551EEBB7FE72}">
      <text>
        <r>
          <rPr>
            <sz val="9"/>
            <color indexed="81"/>
            <rFont val="Tahoma"/>
            <family val="2"/>
          </rPr>
          <t>Solver found a solution. All constraints and optimality conditions are satisfied.</t>
        </r>
      </text>
    </comment>
    <comment ref="E30" authorId="0" shapeId="0" xr:uid="{40A1CE20-5470-4C90-8F1C-88F5FDE8FE3B}">
      <text>
        <r>
          <rPr>
            <sz val="9"/>
            <color indexed="81"/>
            <rFont val="Tahoma"/>
            <family val="2"/>
          </rPr>
          <t>Solver found a solution. All constraints and optimality conditions are satisfied.</t>
        </r>
      </text>
    </comment>
    <comment ref="F30" authorId="0" shapeId="0" xr:uid="{AC1C4A77-4FC3-4BDB-8BCC-F33945994AF2}">
      <text>
        <r>
          <rPr>
            <sz val="9"/>
            <color indexed="81"/>
            <rFont val="Tahoma"/>
            <family val="2"/>
          </rPr>
          <t>Solver found an integer solution within tolerance. All constraints are satisfied.</t>
        </r>
      </text>
    </comment>
    <comment ref="G30" authorId="0" shapeId="0" xr:uid="{F6D39E34-B11C-407F-90FC-2BDFA7E9167F}">
      <text>
        <r>
          <rPr>
            <sz val="9"/>
            <color indexed="81"/>
            <rFont val="Tahoma"/>
            <family val="2"/>
          </rPr>
          <t>Solver found an integer solution within tolerance. All constraints are satisfied.</t>
        </r>
      </text>
    </comment>
    <comment ref="B31" authorId="0" shapeId="0" xr:uid="{DF518A8D-4550-4A9F-8CA2-71D03F7A3701}">
      <text>
        <r>
          <rPr>
            <sz val="9"/>
            <color indexed="81"/>
            <rFont val="Tahoma"/>
            <family val="2"/>
          </rPr>
          <t>Solver found a solution. All constraints and optimality conditions are satisfied.</t>
        </r>
      </text>
    </comment>
    <comment ref="C31" authorId="0" shapeId="0" xr:uid="{CEA18993-0457-48F3-81C7-36E7F48221B7}">
      <text>
        <r>
          <rPr>
            <sz val="9"/>
            <color indexed="81"/>
            <rFont val="Tahoma"/>
            <family val="2"/>
          </rPr>
          <t>Solver found a solution. All constraints and optimality conditions are satisfied.</t>
        </r>
      </text>
    </comment>
    <comment ref="D31" authorId="0" shapeId="0" xr:uid="{8BD59BC2-6080-4148-BBAD-8C56E3983450}">
      <text>
        <r>
          <rPr>
            <sz val="9"/>
            <color indexed="81"/>
            <rFont val="Tahoma"/>
            <family val="2"/>
          </rPr>
          <t>Solver found a solution. All constraints and optimality conditions are satisfied.</t>
        </r>
      </text>
    </comment>
    <comment ref="E31" authorId="0" shapeId="0" xr:uid="{3D08F49F-8E89-4C52-B0DF-B7B8DEC39113}">
      <text>
        <r>
          <rPr>
            <sz val="9"/>
            <color indexed="81"/>
            <rFont val="Tahoma"/>
            <family val="2"/>
          </rPr>
          <t>Solver found a solution. All constraints and optimality conditions are satisfied.</t>
        </r>
      </text>
    </comment>
    <comment ref="F31" authorId="0" shapeId="0" xr:uid="{810F45B5-B776-4E87-99BC-1332F000EEAA}">
      <text>
        <r>
          <rPr>
            <sz val="9"/>
            <color indexed="81"/>
            <rFont val="Tahoma"/>
            <family val="2"/>
          </rPr>
          <t>Solver found a solution. All constraints and optimality conditions are satisfied.</t>
        </r>
      </text>
    </comment>
    <comment ref="G31" authorId="0" shapeId="0" xr:uid="{5D95FD17-1FED-4F8F-AD37-44D9D43425ED}">
      <text>
        <r>
          <rPr>
            <sz val="9"/>
            <color indexed="81"/>
            <rFont val="Tahoma"/>
            <family val="2"/>
          </rPr>
          <t>Solver found a solution. All constraints and optimality conditions are satisfied.</t>
        </r>
      </text>
    </comment>
    <comment ref="B32" authorId="0" shapeId="0" xr:uid="{414C957C-B5F0-4D64-80C8-CA3C17AD322A}">
      <text>
        <r>
          <rPr>
            <sz val="9"/>
            <color indexed="81"/>
            <rFont val="Tahoma"/>
            <family val="2"/>
          </rPr>
          <t>Solver found a solution. All constraints and optimality conditions are satisfied.</t>
        </r>
      </text>
    </comment>
    <comment ref="C32" authorId="0" shapeId="0" xr:uid="{7C5328A0-5FCB-4D4A-A25B-68FDD74E0C66}">
      <text>
        <r>
          <rPr>
            <sz val="9"/>
            <color indexed="81"/>
            <rFont val="Tahoma"/>
            <family val="2"/>
          </rPr>
          <t>Solver found a solution. All constraints and optimality conditions are satisfied.</t>
        </r>
      </text>
    </comment>
    <comment ref="D32" authorId="0" shapeId="0" xr:uid="{F92831D5-1845-4959-A159-C91806DD8906}">
      <text>
        <r>
          <rPr>
            <sz val="9"/>
            <color indexed="81"/>
            <rFont val="Tahoma"/>
            <family val="2"/>
          </rPr>
          <t>Solver found a solution. All constraints and optimality conditions are satisfied.</t>
        </r>
      </text>
    </comment>
    <comment ref="E32" authorId="0" shapeId="0" xr:uid="{44910CDD-E37F-4AC0-8681-4E2BA6BEA3FA}">
      <text>
        <r>
          <rPr>
            <sz val="9"/>
            <color indexed="81"/>
            <rFont val="Tahoma"/>
            <family val="2"/>
          </rPr>
          <t>Solver found a solution. All constraints and optimality conditions are satisfied.</t>
        </r>
      </text>
    </comment>
    <comment ref="F32" authorId="0" shapeId="0" xr:uid="{BC0C076C-8F0D-4E13-A8DD-866CDC7EF096}">
      <text>
        <r>
          <rPr>
            <sz val="9"/>
            <color indexed="81"/>
            <rFont val="Tahoma"/>
            <family val="2"/>
          </rPr>
          <t>Solver found a solution. All constraints and optimality conditions are satisfied.</t>
        </r>
      </text>
    </comment>
    <comment ref="G32" authorId="0" shapeId="0" xr:uid="{CDC51E67-2EDE-47B0-8EAA-CCD8B79AC4F3}">
      <text>
        <r>
          <rPr>
            <sz val="9"/>
            <color indexed="81"/>
            <rFont val="Tahoma"/>
            <family val="2"/>
          </rPr>
          <t>Solver found a solution. All constraints and optimality conditions are satisfied.</t>
        </r>
      </text>
    </comment>
    <comment ref="B33" authorId="0" shapeId="0" xr:uid="{C67D3B1B-D123-4C42-926A-6E095A7BEA6E}">
      <text>
        <r>
          <rPr>
            <sz val="9"/>
            <color rgb="FF000000"/>
            <rFont val="Tahoma"/>
            <family val="2"/>
          </rPr>
          <t>Solver found a solution. All constraints and optimality conditions are satisfied.</t>
        </r>
      </text>
    </comment>
    <comment ref="C33" authorId="0" shapeId="0" xr:uid="{AB2ED1BD-FCC9-4E57-9CA2-DC9E1769B82A}">
      <text>
        <r>
          <rPr>
            <sz val="9"/>
            <color indexed="81"/>
            <rFont val="Tahoma"/>
            <family val="2"/>
          </rPr>
          <t>Solver found a solution. All constraints and optimality conditions are satisfied.</t>
        </r>
      </text>
    </comment>
    <comment ref="D33" authorId="0" shapeId="0" xr:uid="{FC7E5053-FBE0-4C77-957F-E603090FF23E}">
      <text>
        <r>
          <rPr>
            <sz val="9"/>
            <color indexed="81"/>
            <rFont val="Tahoma"/>
            <family val="2"/>
          </rPr>
          <t>Solver found a solution. All constraints and optimality conditions are satisfied.</t>
        </r>
      </text>
    </comment>
    <comment ref="E33" authorId="0" shapeId="0" xr:uid="{0136AF00-190C-42C6-894E-77CE6E1DD4D6}">
      <text>
        <r>
          <rPr>
            <sz val="9"/>
            <color indexed="81"/>
            <rFont val="Tahoma"/>
            <family val="2"/>
          </rPr>
          <t>Solver found a solution. All constraints and optimality conditions are satisfied.</t>
        </r>
      </text>
    </comment>
    <comment ref="F33" authorId="0" shapeId="0" xr:uid="{CA50897A-7011-4F7E-938D-38A16101FFDA}">
      <text>
        <r>
          <rPr>
            <sz val="9"/>
            <color indexed="81"/>
            <rFont val="Tahoma"/>
            <family val="2"/>
          </rPr>
          <t>Solver found a solution. All constraints and optimality conditions are satisfied.</t>
        </r>
      </text>
    </comment>
    <comment ref="G33" authorId="0" shapeId="0" xr:uid="{62CE305F-5746-47D7-A3B7-5B3F793D2EE0}">
      <text>
        <r>
          <rPr>
            <sz val="9"/>
            <color indexed="81"/>
            <rFont val="Tahoma"/>
            <family val="2"/>
          </rPr>
          <t>Solver found a solution. All constraints and optimality conditions are satisfied.</t>
        </r>
      </text>
    </comment>
    <comment ref="B34" authorId="0" shapeId="0" xr:uid="{A65F66D4-D94F-4D76-A850-150C59E44CD3}">
      <text>
        <r>
          <rPr>
            <sz val="9"/>
            <color rgb="FF000000"/>
            <rFont val="Tahoma"/>
            <family val="2"/>
          </rPr>
          <t>Solver found an integer solution within tolerance. All constraints are satisfied.</t>
        </r>
      </text>
    </comment>
    <comment ref="C34" authorId="0" shapeId="0" xr:uid="{DFA1F6F9-38A6-4E1A-B5EE-97129114AF8D}">
      <text>
        <r>
          <rPr>
            <sz val="9"/>
            <color indexed="81"/>
            <rFont val="Tahoma"/>
            <family val="2"/>
          </rPr>
          <t>Solver found a solution. All constraints and optimality conditions are satisfied.</t>
        </r>
      </text>
    </comment>
    <comment ref="D34" authorId="0" shapeId="0" xr:uid="{274592CA-9278-4C33-A78C-250657F4DAB4}">
      <text>
        <r>
          <rPr>
            <sz val="9"/>
            <color indexed="81"/>
            <rFont val="Tahoma"/>
            <family val="2"/>
          </rPr>
          <t>Solver found a solution. All constraints and optimality conditions are satisfied.</t>
        </r>
      </text>
    </comment>
    <comment ref="E34" authorId="0" shapeId="0" xr:uid="{222D184C-0E98-4F4E-9E4B-1CF9F8B347C1}">
      <text>
        <r>
          <rPr>
            <sz val="9"/>
            <color indexed="81"/>
            <rFont val="Tahoma"/>
            <family val="2"/>
          </rPr>
          <t>Solver found a solution. All constraints and optimality conditions are satisfied.</t>
        </r>
      </text>
    </comment>
    <comment ref="F34" authorId="0" shapeId="0" xr:uid="{977EF898-C29E-4900-B5F8-0888C50773B0}">
      <text>
        <r>
          <rPr>
            <sz val="9"/>
            <color indexed="81"/>
            <rFont val="Tahoma"/>
            <family val="2"/>
          </rPr>
          <t>Solver found a solution. All constraints and optimality conditions are satisfied.</t>
        </r>
      </text>
    </comment>
    <comment ref="G34" authorId="0" shapeId="0" xr:uid="{1D859911-4755-4A9B-8457-2498892B4EC3}">
      <text>
        <r>
          <rPr>
            <sz val="9"/>
            <color indexed="81"/>
            <rFont val="Tahoma"/>
            <family val="2"/>
          </rPr>
          <t>Solver found a solution. All constraints and optimality conditions are satisfied.</t>
        </r>
      </text>
    </comment>
    <comment ref="B35" authorId="0" shapeId="0" xr:uid="{12FDBADA-C2A7-4F9D-A544-9C3C565A7461}">
      <text>
        <r>
          <rPr>
            <sz val="9"/>
            <color indexed="81"/>
            <rFont val="Tahoma"/>
            <family val="2"/>
          </rPr>
          <t>Solver found an integer solution within tolerance. All constraints are satisfied.</t>
        </r>
      </text>
    </comment>
    <comment ref="C35" authorId="0" shapeId="0" xr:uid="{934EE7D9-3EE8-47A0-BB86-C279EBACE29D}">
      <text>
        <r>
          <rPr>
            <sz val="9"/>
            <color indexed="81"/>
            <rFont val="Tahoma"/>
            <family val="2"/>
          </rPr>
          <t>Solver found an integer solution within tolerance. All constraints are satisfied.</t>
        </r>
      </text>
    </comment>
    <comment ref="D35" authorId="0" shapeId="0" xr:uid="{1856E485-B8B3-45A5-AE0A-B0463C6D136C}">
      <text>
        <r>
          <rPr>
            <sz val="9"/>
            <color indexed="81"/>
            <rFont val="Tahoma"/>
            <family val="2"/>
          </rPr>
          <t>Solver found a solution. All constraints and optimality conditions are satisfied.</t>
        </r>
      </text>
    </comment>
    <comment ref="E35" authorId="0" shapeId="0" xr:uid="{A2FCFA43-C0D8-4CB2-99B6-77447A445ECF}">
      <text>
        <r>
          <rPr>
            <sz val="9"/>
            <color indexed="81"/>
            <rFont val="Tahoma"/>
            <family val="2"/>
          </rPr>
          <t>Solver found a solution. All constraints and optimality conditions are satisfied.</t>
        </r>
      </text>
    </comment>
    <comment ref="F35" authorId="0" shapeId="0" xr:uid="{6DBCE839-72A0-4CB6-B22A-A92FB095DEA1}">
      <text>
        <r>
          <rPr>
            <sz val="9"/>
            <color indexed="81"/>
            <rFont val="Tahoma"/>
            <family val="2"/>
          </rPr>
          <t>Solver found a solution. All constraints and optimality conditions are satisfied.</t>
        </r>
      </text>
    </comment>
    <comment ref="G35" authorId="0" shapeId="0" xr:uid="{FB87BA0F-767B-4669-9DC8-CB16A458B979}">
      <text>
        <r>
          <rPr>
            <sz val="9"/>
            <color indexed="81"/>
            <rFont val="Tahoma"/>
            <family val="2"/>
          </rPr>
          <t>Solver found a solution. All constraints and optimality conditions are satisfied.</t>
        </r>
      </text>
    </comment>
    <comment ref="B36" authorId="0" shapeId="0" xr:uid="{26BE4BAB-93DB-4A8E-A534-E2798BF7D248}">
      <text>
        <r>
          <rPr>
            <sz val="9"/>
            <color indexed="81"/>
            <rFont val="Tahoma"/>
            <family val="2"/>
          </rPr>
          <t>Solver found a solution. All constraints and optimality conditions are satisfied.</t>
        </r>
      </text>
    </comment>
    <comment ref="C36" authorId="0" shapeId="0" xr:uid="{B636B826-77C8-488F-951D-78FA98FEBABD}">
      <text>
        <r>
          <rPr>
            <sz val="9"/>
            <color indexed="81"/>
            <rFont val="Tahoma"/>
            <family val="2"/>
          </rPr>
          <t>Solver found an integer solution within tolerance. All constraints are satisfied.</t>
        </r>
      </text>
    </comment>
    <comment ref="D36" authorId="0" shapeId="0" xr:uid="{B1E391E2-F34D-4441-8B64-DDE0DF88D8EA}">
      <text>
        <r>
          <rPr>
            <sz val="9"/>
            <color indexed="81"/>
            <rFont val="Tahoma"/>
            <family val="2"/>
          </rPr>
          <t>Solver found an integer solution within tolerance. All constraints are satisfied.</t>
        </r>
      </text>
    </comment>
    <comment ref="E36" authorId="0" shapeId="0" xr:uid="{AA62FBC3-679F-47D4-9797-A20CFA9768D6}">
      <text>
        <r>
          <rPr>
            <sz val="9"/>
            <color indexed="81"/>
            <rFont val="Tahoma"/>
            <family val="2"/>
          </rPr>
          <t>Solver found a solution. All constraints and optimality conditions are satisfied.</t>
        </r>
      </text>
    </comment>
    <comment ref="F36" authorId="0" shapeId="0" xr:uid="{C4566641-8494-472E-B641-4CE6AAA22C3F}">
      <text>
        <r>
          <rPr>
            <sz val="9"/>
            <color indexed="81"/>
            <rFont val="Tahoma"/>
            <family val="2"/>
          </rPr>
          <t>Solver found a solution. All constraints and optimality conditions are satisfied.</t>
        </r>
      </text>
    </comment>
    <comment ref="G36" authorId="0" shapeId="0" xr:uid="{4B9930BD-7C09-40E1-8491-75EB826B3185}">
      <text>
        <r>
          <rPr>
            <sz val="9"/>
            <color indexed="81"/>
            <rFont val="Tahoma"/>
            <family val="2"/>
          </rPr>
          <t>Solver found a solution. All constraints and optimality conditions are satisfied.</t>
        </r>
      </text>
    </comment>
    <comment ref="B37" authorId="0" shapeId="0" xr:uid="{1E967E05-A6D1-47A8-8E54-409038340FFD}">
      <text>
        <r>
          <rPr>
            <sz val="9"/>
            <color indexed="81"/>
            <rFont val="Tahoma"/>
            <family val="2"/>
          </rPr>
          <t>Solver found a solution. All constraints and optimality conditions are satisfied.</t>
        </r>
      </text>
    </comment>
    <comment ref="C37" authorId="0" shapeId="0" xr:uid="{89A04AE7-2FA0-43A9-B1F9-00AD17FA8D27}">
      <text>
        <r>
          <rPr>
            <sz val="9"/>
            <color indexed="81"/>
            <rFont val="Tahoma"/>
            <family val="2"/>
          </rPr>
          <t>Solver found a solution. All constraints and optimality conditions are satisfied.</t>
        </r>
      </text>
    </comment>
    <comment ref="D37" authorId="0" shapeId="0" xr:uid="{537BDCFB-C3AD-4CFC-8DE4-96E1EEBD9E9E}">
      <text>
        <r>
          <rPr>
            <sz val="9"/>
            <color indexed="81"/>
            <rFont val="Tahoma"/>
            <family val="2"/>
          </rPr>
          <t>Solver found an integer solution within tolerance. All constraints are satisfied.</t>
        </r>
      </text>
    </comment>
    <comment ref="E37" authorId="0" shapeId="0" xr:uid="{864B763C-7A60-492D-BC81-5574A7FD9451}">
      <text>
        <r>
          <rPr>
            <sz val="9"/>
            <color indexed="81"/>
            <rFont val="Tahoma"/>
            <family val="2"/>
          </rPr>
          <t>Solver found an integer solution within tolerance. All constraints are satisfied.</t>
        </r>
      </text>
    </comment>
    <comment ref="F37" authorId="0" shapeId="0" xr:uid="{0DA3661A-C0C3-4599-86E0-D8801C6D3201}">
      <text>
        <r>
          <rPr>
            <sz val="9"/>
            <color indexed="81"/>
            <rFont val="Tahoma"/>
            <family val="2"/>
          </rPr>
          <t>Solver found an integer solution within tolerance. All constraints are satisfied.</t>
        </r>
      </text>
    </comment>
    <comment ref="G37" authorId="0" shapeId="0" xr:uid="{3320FA94-8915-410F-BA69-9B4F39E23145}">
      <text>
        <r>
          <rPr>
            <sz val="9"/>
            <color indexed="81"/>
            <rFont val="Tahoma"/>
            <family val="2"/>
          </rPr>
          <t>Solver found a solution. All constraints and optimality conditions are satisfied.</t>
        </r>
      </text>
    </comment>
    <comment ref="B38" authorId="0" shapeId="0" xr:uid="{56D33F40-034C-48A2-B8B1-11FC2A546AE8}">
      <text>
        <r>
          <rPr>
            <sz val="9"/>
            <color indexed="81"/>
            <rFont val="Tahoma"/>
            <family val="2"/>
          </rPr>
          <t>Solver found a solution. All constraints and optimality conditions are satisfied.</t>
        </r>
      </text>
    </comment>
    <comment ref="C38" authorId="0" shapeId="0" xr:uid="{EE68339A-F8E5-4902-B39E-8DF623CF4949}">
      <text>
        <r>
          <rPr>
            <sz val="9"/>
            <color indexed="81"/>
            <rFont val="Tahoma"/>
            <family val="2"/>
          </rPr>
          <t>Solver found a solution. All constraints and optimality conditions are satisfied.</t>
        </r>
      </text>
    </comment>
    <comment ref="D38" authorId="0" shapeId="0" xr:uid="{EC1B4966-8D4B-4D91-98A3-98148D38A97C}">
      <text>
        <r>
          <rPr>
            <sz val="9"/>
            <color indexed="81"/>
            <rFont val="Tahoma"/>
            <family val="2"/>
          </rPr>
          <t>Solver found a solution. All constraints and optimality conditions are satisfied.</t>
        </r>
      </text>
    </comment>
    <comment ref="E38" authorId="0" shapeId="0" xr:uid="{03A5E23C-7F1B-477C-97E3-AEB6AF0EC658}">
      <text>
        <r>
          <rPr>
            <sz val="9"/>
            <color indexed="81"/>
            <rFont val="Tahoma"/>
            <family val="2"/>
          </rPr>
          <t>Solver found an integer solution within tolerance. All constraints are satisfied.</t>
        </r>
      </text>
    </comment>
    <comment ref="F38" authorId="0" shapeId="0" xr:uid="{C8669563-E53B-4525-AAAD-DA50C7FB720F}">
      <text>
        <r>
          <rPr>
            <sz val="9"/>
            <color indexed="81"/>
            <rFont val="Tahoma"/>
            <family val="2"/>
          </rPr>
          <t>Solver found an integer solution within tolerance. All constraints are satisfied.</t>
        </r>
      </text>
    </comment>
    <comment ref="G38" authorId="0" shapeId="0" xr:uid="{89D8BDF3-71E8-4F49-A176-B0692DBB34B5}">
      <text>
        <r>
          <rPr>
            <sz val="9"/>
            <color indexed="81"/>
            <rFont val="Tahoma"/>
            <family val="2"/>
          </rPr>
          <t>Solver found an integer solution within tolerance. All constraints are satisfied.</t>
        </r>
      </text>
    </comment>
    <comment ref="B39" authorId="0" shapeId="0" xr:uid="{C6C0441D-98D4-4FDF-A6CE-0AC1344B3D96}">
      <text>
        <r>
          <rPr>
            <sz val="9"/>
            <color indexed="81"/>
            <rFont val="Tahoma"/>
            <family val="2"/>
          </rPr>
          <t>Solver found a solution. All constraints and optimality conditions are satisfied.</t>
        </r>
      </text>
    </comment>
    <comment ref="C39" authorId="0" shapeId="0" xr:uid="{B9D4E431-686E-4255-B6D2-637CC40D6FAD}">
      <text>
        <r>
          <rPr>
            <sz val="9"/>
            <color indexed="81"/>
            <rFont val="Tahoma"/>
            <family val="2"/>
          </rPr>
          <t>Solver found a solution. All constraints and optimality conditions are satisfied.</t>
        </r>
      </text>
    </comment>
    <comment ref="D39" authorId="0" shapeId="0" xr:uid="{CB1F8B41-1FEA-4F9A-B913-CF4D12FF8359}">
      <text>
        <r>
          <rPr>
            <sz val="9"/>
            <color indexed="81"/>
            <rFont val="Tahoma"/>
            <family val="2"/>
          </rPr>
          <t>Solver found a solution. All constraints and optimality conditions are satisfied.</t>
        </r>
      </text>
    </comment>
    <comment ref="E39" authorId="0" shapeId="0" xr:uid="{62C5D97C-33BE-4891-8A97-F4FA4E305BC5}">
      <text>
        <r>
          <rPr>
            <sz val="9"/>
            <color indexed="81"/>
            <rFont val="Tahoma"/>
            <family val="2"/>
          </rPr>
          <t>Solver found a solution. All constraints and optimality conditions are satisfied.</t>
        </r>
      </text>
    </comment>
    <comment ref="F39" authorId="0" shapeId="0" xr:uid="{5DCD0865-E502-4C41-85AD-D9F8295E78EC}">
      <text>
        <r>
          <rPr>
            <sz val="9"/>
            <color indexed="81"/>
            <rFont val="Tahoma"/>
            <family val="2"/>
          </rPr>
          <t>Solver found an integer solution within tolerance. All constraints are satisfied.</t>
        </r>
      </text>
    </comment>
    <comment ref="G39" authorId="0" shapeId="0" xr:uid="{DF1C3004-4E5D-41E3-AE59-2446B2E90A6E}">
      <text>
        <r>
          <rPr>
            <sz val="9"/>
            <color rgb="FF000000"/>
            <rFont val="Tahoma"/>
            <family val="2"/>
          </rPr>
          <t>Solver found an integer solution within tolerance. All constraints are satisfied.</t>
        </r>
      </text>
    </comment>
    <comment ref="B40" authorId="0" shapeId="0" xr:uid="{FAF4857B-9774-48FF-BCE3-BC5A3EA60544}">
      <text>
        <r>
          <rPr>
            <sz val="9"/>
            <color indexed="81"/>
            <rFont val="Tahoma"/>
            <family val="2"/>
          </rPr>
          <t>Solver found a solution. All constraints and optimality conditions are satisfied.</t>
        </r>
      </text>
    </comment>
    <comment ref="C40" authorId="0" shapeId="0" xr:uid="{5BA850DF-5B16-4FFF-A5A4-106E676DA751}">
      <text>
        <r>
          <rPr>
            <sz val="9"/>
            <color indexed="81"/>
            <rFont val="Tahoma"/>
            <family val="2"/>
          </rPr>
          <t>Solver found a solution. All constraints and optimality conditions are satisfied.</t>
        </r>
      </text>
    </comment>
    <comment ref="D40" authorId="0" shapeId="0" xr:uid="{E9D4F9B5-F31B-4E13-8C49-9D176A404EE2}">
      <text>
        <r>
          <rPr>
            <sz val="9"/>
            <color indexed="81"/>
            <rFont val="Tahoma"/>
            <family val="2"/>
          </rPr>
          <t>Solver found a solution. All constraints and optimality conditions are satisfied.</t>
        </r>
      </text>
    </comment>
    <comment ref="E40" authorId="0" shapeId="0" xr:uid="{FFD617DE-FD6D-4C4D-9494-680A9B97D4B4}">
      <text>
        <r>
          <rPr>
            <sz val="9"/>
            <color indexed="81"/>
            <rFont val="Tahoma"/>
            <family val="2"/>
          </rPr>
          <t>Solver found a solution. All constraints and optimality conditions are satisfied.</t>
        </r>
      </text>
    </comment>
    <comment ref="F40" authorId="0" shapeId="0" xr:uid="{6EA9AFE4-D73E-453F-92E1-673891F0CC11}">
      <text>
        <r>
          <rPr>
            <sz val="9"/>
            <color indexed="81"/>
            <rFont val="Tahoma"/>
            <family val="2"/>
          </rPr>
          <t>Solver found a solution. All constraints and optimality conditions are satisfied.</t>
        </r>
      </text>
    </comment>
    <comment ref="G40" authorId="0" shapeId="0" xr:uid="{15B8BCAE-DEED-4DB0-8B19-89A1788D8B07}">
      <text>
        <r>
          <rPr>
            <sz val="9"/>
            <color indexed="81"/>
            <rFont val="Tahoma"/>
            <family val="2"/>
          </rPr>
          <t>Solver found a solution. All constraints and optimality conditions are satisfied.</t>
        </r>
      </text>
    </comment>
    <comment ref="B41" authorId="0" shapeId="0" xr:uid="{11120A03-584D-4604-BDD1-6D0544B32BCA}">
      <text>
        <r>
          <rPr>
            <sz val="9"/>
            <color indexed="81"/>
            <rFont val="Tahoma"/>
            <family val="2"/>
          </rPr>
          <t>Solver found a solution. All constraints and optimality conditions are satisfied.</t>
        </r>
      </text>
    </comment>
    <comment ref="C41" authorId="0" shapeId="0" xr:uid="{332C29E7-5EBE-42A6-A536-BF4963E1F2CC}">
      <text>
        <r>
          <rPr>
            <sz val="9"/>
            <color indexed="81"/>
            <rFont val="Tahoma"/>
            <family val="2"/>
          </rPr>
          <t>Solver found a solution. All constraints and optimality conditions are satisfied.</t>
        </r>
      </text>
    </comment>
    <comment ref="D41" authorId="0" shapeId="0" xr:uid="{83E8671B-7F75-4744-AFDD-E5A65B40F823}">
      <text>
        <r>
          <rPr>
            <sz val="9"/>
            <color indexed="81"/>
            <rFont val="Tahoma"/>
            <family val="2"/>
          </rPr>
          <t>Solver found a solution. All constraints and optimality conditions are satisfied.</t>
        </r>
      </text>
    </comment>
    <comment ref="E41" authorId="0" shapeId="0" xr:uid="{378C418F-E55D-4C5C-AAE2-0F7D02BE787D}">
      <text>
        <r>
          <rPr>
            <sz val="9"/>
            <color indexed="81"/>
            <rFont val="Tahoma"/>
            <family val="2"/>
          </rPr>
          <t>Solver found a solution. All constraints and optimality conditions are satisfied.</t>
        </r>
      </text>
    </comment>
    <comment ref="F41" authorId="0" shapeId="0" xr:uid="{B16DAD36-DFDE-486B-A6E1-BC0C6B937971}">
      <text>
        <r>
          <rPr>
            <sz val="9"/>
            <color indexed="81"/>
            <rFont val="Tahoma"/>
            <family val="2"/>
          </rPr>
          <t>Solver found a solution. All constraints and optimality conditions are satisfied.</t>
        </r>
      </text>
    </comment>
    <comment ref="G41" authorId="0" shapeId="0" xr:uid="{378AE69A-ECD6-4F4B-B5A9-7C5D5AA756D1}">
      <text>
        <r>
          <rPr>
            <sz val="9"/>
            <color indexed="81"/>
            <rFont val="Tahoma"/>
            <family val="2"/>
          </rPr>
          <t>Solver found a solution. All constraints and optimality conditions are satisfied.</t>
        </r>
      </text>
    </comment>
    <comment ref="B42" authorId="0" shapeId="0" xr:uid="{9DF8E352-3664-4F31-9E72-5F596BCAFF75}">
      <text>
        <r>
          <rPr>
            <sz val="9"/>
            <color indexed="81"/>
            <rFont val="Tahoma"/>
            <family val="2"/>
          </rPr>
          <t>Solver found a solution. All constraints and optimality conditions are satisfied.</t>
        </r>
      </text>
    </comment>
    <comment ref="C42" authorId="0" shapeId="0" xr:uid="{E781DC11-D00A-4EC3-B890-7FCA7B7652BC}">
      <text>
        <r>
          <rPr>
            <sz val="9"/>
            <color indexed="81"/>
            <rFont val="Tahoma"/>
            <family val="2"/>
          </rPr>
          <t>Solver found a solution. All constraints and optimality conditions are satisfied.</t>
        </r>
      </text>
    </comment>
    <comment ref="D42" authorId="0" shapeId="0" xr:uid="{CEC4AE65-6E16-4F46-A594-0CCCE280D22B}">
      <text>
        <r>
          <rPr>
            <sz val="9"/>
            <color indexed="81"/>
            <rFont val="Tahoma"/>
            <family val="2"/>
          </rPr>
          <t>Solver found a solution. All constraints and optimality conditions are satisfied.</t>
        </r>
      </text>
    </comment>
    <comment ref="E42" authorId="0" shapeId="0" xr:uid="{9964A750-89D1-4B15-BF16-1B8B89C202FA}">
      <text>
        <r>
          <rPr>
            <sz val="9"/>
            <color indexed="81"/>
            <rFont val="Tahoma"/>
            <family val="2"/>
          </rPr>
          <t>Solver found a solution. All constraints and optimality conditions are satisfied.</t>
        </r>
      </text>
    </comment>
    <comment ref="F42" authorId="0" shapeId="0" xr:uid="{179E8927-65DF-475D-925B-720D4A3ACC44}">
      <text>
        <r>
          <rPr>
            <sz val="9"/>
            <color indexed="81"/>
            <rFont val="Tahoma"/>
            <family val="2"/>
          </rPr>
          <t>Solver found a solution. All constraints and optimality conditions are satisfied.</t>
        </r>
      </text>
    </comment>
    <comment ref="G42" authorId="0" shapeId="0" xr:uid="{FF23A208-AFA8-4C61-8F9B-65E1C66DA923}">
      <text>
        <r>
          <rPr>
            <sz val="9"/>
            <color indexed="81"/>
            <rFont val="Tahoma"/>
            <family val="2"/>
          </rPr>
          <t>Solver found a solution. All constraints and optimality conditions are satisfied.</t>
        </r>
      </text>
    </comment>
    <comment ref="B43" authorId="0" shapeId="0" xr:uid="{1F18541B-E2AB-4EB7-825B-1C0D7DCD828A}">
      <text>
        <r>
          <rPr>
            <sz val="9"/>
            <color indexed="81"/>
            <rFont val="Tahoma"/>
            <family val="2"/>
          </rPr>
          <t>Solver found a solution. All constraints and optimality conditions are satisfied.</t>
        </r>
      </text>
    </comment>
    <comment ref="C43" authorId="0" shapeId="0" xr:uid="{75209E18-20CE-4215-BC60-6B1D16619AD0}">
      <text>
        <r>
          <rPr>
            <sz val="9"/>
            <color indexed="81"/>
            <rFont val="Tahoma"/>
            <family val="2"/>
          </rPr>
          <t>Solver found a solution. All constraints and optimality conditions are satisfied.</t>
        </r>
      </text>
    </comment>
    <comment ref="D43" authorId="0" shapeId="0" xr:uid="{E520448C-746A-4BB6-AF73-EC2F2CCE2ED5}">
      <text>
        <r>
          <rPr>
            <sz val="9"/>
            <color indexed="81"/>
            <rFont val="Tahoma"/>
            <family val="2"/>
          </rPr>
          <t>Solver found a solution. All constraints and optimality conditions are satisfied.</t>
        </r>
      </text>
    </comment>
    <comment ref="E43" authorId="0" shapeId="0" xr:uid="{5558870A-22ED-4B25-B7CD-052F73056526}">
      <text>
        <r>
          <rPr>
            <sz val="9"/>
            <color rgb="FF000000"/>
            <rFont val="Tahoma"/>
            <family val="2"/>
          </rPr>
          <t>Solver found a solution. All constraints and optimality conditions are satisfied.</t>
        </r>
      </text>
    </comment>
    <comment ref="F43" authorId="0" shapeId="0" xr:uid="{35A8C5E1-F8FF-4B99-B7E8-4AAAE08C988E}">
      <text>
        <r>
          <rPr>
            <sz val="9"/>
            <color indexed="81"/>
            <rFont val="Tahoma"/>
            <family val="2"/>
          </rPr>
          <t>Solver found a solution. All constraints and optimality conditions are satisfied.</t>
        </r>
      </text>
    </comment>
    <comment ref="G43" authorId="0" shapeId="0" xr:uid="{75F493CA-E010-4A1E-BF00-FB4F7F4E2E32}">
      <text>
        <r>
          <rPr>
            <sz val="9"/>
            <color indexed="81"/>
            <rFont val="Tahoma"/>
            <family val="2"/>
          </rPr>
          <t>Solver found a solution. All constraints and optimality conditions are satisfied.</t>
        </r>
      </text>
    </comment>
    <comment ref="B44" authorId="0" shapeId="0" xr:uid="{E747E7E9-0A78-4960-BDFA-E32D121CD89B}">
      <text>
        <r>
          <rPr>
            <sz val="9"/>
            <color indexed="81"/>
            <rFont val="Tahoma"/>
            <family val="2"/>
          </rPr>
          <t>Solver found a solution. All constraints and optimality conditions are satisfied.</t>
        </r>
      </text>
    </comment>
    <comment ref="C44" authorId="0" shapeId="0" xr:uid="{5774E0B4-F559-4924-B0A7-0B8EA277271D}">
      <text>
        <r>
          <rPr>
            <sz val="9"/>
            <color indexed="81"/>
            <rFont val="Tahoma"/>
            <family val="2"/>
          </rPr>
          <t>Solver found a solution. All constraints and optimality conditions are satisfied.</t>
        </r>
      </text>
    </comment>
    <comment ref="D44" authorId="0" shapeId="0" xr:uid="{CA006943-C9F4-4214-A280-1557F907C5BB}">
      <text>
        <r>
          <rPr>
            <sz val="9"/>
            <color indexed="81"/>
            <rFont val="Tahoma"/>
            <family val="2"/>
          </rPr>
          <t>Solver found a solution. All constraints and optimality conditions are satisfied.</t>
        </r>
      </text>
    </comment>
    <comment ref="E44" authorId="0" shapeId="0" xr:uid="{88A4C450-3EB3-4CCA-BE36-1B751841C00E}">
      <text>
        <r>
          <rPr>
            <sz val="9"/>
            <color indexed="81"/>
            <rFont val="Tahoma"/>
            <family val="2"/>
          </rPr>
          <t>Solver found a solution. All constraints and optimality conditions are satisfied.</t>
        </r>
      </text>
    </comment>
    <comment ref="F44" authorId="0" shapeId="0" xr:uid="{1B0AC794-AFE0-4230-90CB-4DEFB7352647}">
      <text>
        <r>
          <rPr>
            <sz val="9"/>
            <color indexed="81"/>
            <rFont val="Tahoma"/>
            <family val="2"/>
          </rPr>
          <t>Solver found a solution. All constraints and optimality conditions are satisfied.</t>
        </r>
      </text>
    </comment>
    <comment ref="G44" authorId="0" shapeId="0" xr:uid="{7942474E-DFFD-4F8A-B6C5-D89D582C33E5}">
      <text>
        <r>
          <rPr>
            <sz val="9"/>
            <color indexed="81"/>
            <rFont val="Tahoma"/>
            <family val="2"/>
          </rPr>
          <t>Solver found a solution. All constraints and optimality conditions are satisfied.</t>
        </r>
      </text>
    </comment>
    <comment ref="B45" authorId="0" shapeId="0" xr:uid="{40073D9D-3734-4DAB-9D78-C3FB88CD54A2}">
      <text>
        <r>
          <rPr>
            <sz val="9"/>
            <color indexed="81"/>
            <rFont val="Tahoma"/>
            <family val="2"/>
          </rPr>
          <t>Solver found an integer solution within tolerance. All constraints are satisfied.</t>
        </r>
      </text>
    </comment>
    <comment ref="C45" authorId="0" shapeId="0" xr:uid="{BF1975A7-BE2D-4B87-AC7E-4CF25D5D24D6}">
      <text>
        <r>
          <rPr>
            <sz val="9"/>
            <color indexed="81"/>
            <rFont val="Tahoma"/>
            <family val="2"/>
          </rPr>
          <t>Solver found a solution. All constraints and optimality conditions are satisfied.</t>
        </r>
      </text>
    </comment>
    <comment ref="D45" authorId="0" shapeId="0" xr:uid="{48BF629C-6331-441C-BD86-DAB0622C865B}">
      <text>
        <r>
          <rPr>
            <sz val="9"/>
            <color indexed="81"/>
            <rFont val="Tahoma"/>
            <family val="2"/>
          </rPr>
          <t>Solver found a solution. All constraints and optimality conditions are satisfied.</t>
        </r>
      </text>
    </comment>
    <comment ref="E45" authorId="0" shapeId="0" xr:uid="{24683944-D457-4DC4-ACD4-960D02BC2856}">
      <text>
        <r>
          <rPr>
            <sz val="9"/>
            <color indexed="81"/>
            <rFont val="Tahoma"/>
            <family val="2"/>
          </rPr>
          <t>Solver found a solution. All constraints and optimality conditions are satisfied.</t>
        </r>
      </text>
    </comment>
    <comment ref="F45" authorId="0" shapeId="0" xr:uid="{D784E54E-0AE2-4D63-86CD-EB1FFD2EC530}">
      <text>
        <r>
          <rPr>
            <sz val="9"/>
            <color indexed="81"/>
            <rFont val="Tahoma"/>
            <family val="2"/>
          </rPr>
          <t>Solver found a solution. All constraints and optimality conditions are satisfied.</t>
        </r>
      </text>
    </comment>
    <comment ref="G45" authorId="0" shapeId="0" xr:uid="{D679B22D-655A-4283-96E6-C3D9955FB1CD}">
      <text>
        <r>
          <rPr>
            <sz val="9"/>
            <color indexed="81"/>
            <rFont val="Tahoma"/>
            <family val="2"/>
          </rPr>
          <t>Solver found a solution. All constraints and optimality conditions are satisfied.</t>
        </r>
      </text>
    </comment>
    <comment ref="B46" authorId="0" shapeId="0" xr:uid="{0258CD63-928E-4CF7-897D-634227FC3870}">
      <text>
        <r>
          <rPr>
            <sz val="9"/>
            <color indexed="81"/>
            <rFont val="Tahoma"/>
            <family val="2"/>
          </rPr>
          <t>Solver found an integer solution within tolerance. All constraints are satisfied.</t>
        </r>
      </text>
    </comment>
    <comment ref="C46" authorId="0" shapeId="0" xr:uid="{ECCC8BDA-BB2A-4E5B-B56A-F9FBBE06AC56}">
      <text>
        <r>
          <rPr>
            <sz val="9"/>
            <color indexed="81"/>
            <rFont val="Tahoma"/>
            <family val="2"/>
          </rPr>
          <t>Solver found an integer solution within tolerance. All constraints are satisfied.</t>
        </r>
      </text>
    </comment>
    <comment ref="D46" authorId="0" shapeId="0" xr:uid="{6F801C6F-C5C4-4F3A-8AE9-C81F31EEC4CD}">
      <text>
        <r>
          <rPr>
            <sz val="9"/>
            <color indexed="81"/>
            <rFont val="Tahoma"/>
            <family val="2"/>
          </rPr>
          <t>Solver found a solution. All constraints and optimality conditions are satisfied.</t>
        </r>
      </text>
    </comment>
    <comment ref="E46" authorId="0" shapeId="0" xr:uid="{EF5F518F-4125-447F-999E-80E314308EAA}">
      <text>
        <r>
          <rPr>
            <sz val="9"/>
            <color indexed="81"/>
            <rFont val="Tahoma"/>
            <family val="2"/>
          </rPr>
          <t>Solver found a solution. All constraints and optimality conditions are satisfied.</t>
        </r>
      </text>
    </comment>
    <comment ref="F46" authorId="0" shapeId="0" xr:uid="{C9705A7C-5F47-4654-A6A9-EA703D50B557}">
      <text>
        <r>
          <rPr>
            <sz val="9"/>
            <color indexed="81"/>
            <rFont val="Tahoma"/>
            <family val="2"/>
          </rPr>
          <t>Solver found a solution. All constraints and optimality conditions are satisfied.</t>
        </r>
      </text>
    </comment>
    <comment ref="G46" authorId="0" shapeId="0" xr:uid="{7FC2994B-B89D-44E2-A96A-051504E46D9D}">
      <text>
        <r>
          <rPr>
            <sz val="9"/>
            <color indexed="81"/>
            <rFont val="Tahoma"/>
            <family val="2"/>
          </rPr>
          <t>Solver found a solution. All constraints and optimality conditions are satisfied.</t>
        </r>
      </text>
    </comment>
    <comment ref="B47" authorId="0" shapeId="0" xr:uid="{D4D4B48F-FC97-407D-8B5C-A40AF353BA87}">
      <text>
        <r>
          <rPr>
            <sz val="9"/>
            <color indexed="81"/>
            <rFont val="Tahoma"/>
            <family val="2"/>
          </rPr>
          <t>Solver found an integer solution within tolerance. All constraints are satisfied.</t>
        </r>
      </text>
    </comment>
    <comment ref="C47" authorId="0" shapeId="0" xr:uid="{C466D5DB-7DCF-4D87-970D-16F36F7CC8D1}">
      <text>
        <r>
          <rPr>
            <sz val="9"/>
            <color indexed="81"/>
            <rFont val="Tahoma"/>
            <family val="2"/>
          </rPr>
          <t>Solver found an integer solution within tolerance. All constraints are satisfied.</t>
        </r>
      </text>
    </comment>
    <comment ref="D47" authorId="0" shapeId="0" xr:uid="{88DDD0B8-DCBE-4917-B36D-6620660FD5A3}">
      <text>
        <r>
          <rPr>
            <sz val="9"/>
            <color indexed="81"/>
            <rFont val="Tahoma"/>
            <family val="2"/>
          </rPr>
          <t>Solver found an integer solution within tolerance. All constraints are satisfied.</t>
        </r>
      </text>
    </comment>
    <comment ref="E47" authorId="0" shapeId="0" xr:uid="{8AF03A18-6F1C-4E71-9FF9-E52A6B3DA4CF}">
      <text>
        <r>
          <rPr>
            <sz val="9"/>
            <color indexed="81"/>
            <rFont val="Tahoma"/>
            <family val="2"/>
          </rPr>
          <t>Solver found a solution. All constraints and optimality conditions are satisfied.</t>
        </r>
      </text>
    </comment>
    <comment ref="F47" authorId="0" shapeId="0" xr:uid="{F539700D-93F0-450D-9B6B-0F83D119A5B4}">
      <text>
        <r>
          <rPr>
            <sz val="9"/>
            <color indexed="81"/>
            <rFont val="Tahoma"/>
            <family val="2"/>
          </rPr>
          <t>Solver found a solution. All constraints and optimality conditions are satisfied.</t>
        </r>
      </text>
    </comment>
    <comment ref="G47" authorId="0" shapeId="0" xr:uid="{98150DBF-1628-470F-AF6D-ADB7A827EEB8}">
      <text>
        <r>
          <rPr>
            <sz val="9"/>
            <color indexed="81"/>
            <rFont val="Tahoma"/>
            <family val="2"/>
          </rPr>
          <t>Solver found a solution. All constraints and optimality conditions are satisfied.</t>
        </r>
      </text>
    </comment>
    <comment ref="B48" authorId="0" shapeId="0" xr:uid="{6D301D7D-125D-4371-878E-2CB6080EDD2E}">
      <text>
        <r>
          <rPr>
            <sz val="9"/>
            <color indexed="81"/>
            <rFont val="Tahoma"/>
            <family val="2"/>
          </rPr>
          <t>Solver found an integer solution within tolerance. All constraints are satisfied.</t>
        </r>
      </text>
    </comment>
    <comment ref="C48" authorId="0" shapeId="0" xr:uid="{68AF5398-9ACD-442B-B8D7-5BF9A29DAE38}">
      <text>
        <r>
          <rPr>
            <sz val="9"/>
            <color indexed="81"/>
            <rFont val="Tahoma"/>
            <family val="2"/>
          </rPr>
          <t>Solver found an integer solution within tolerance. All constraints are satisfied.</t>
        </r>
      </text>
    </comment>
    <comment ref="D48" authorId="0" shapeId="0" xr:uid="{B19EB674-BD7B-4808-B64D-0B3B605F666E}">
      <text>
        <r>
          <rPr>
            <sz val="9"/>
            <color indexed="81"/>
            <rFont val="Tahoma"/>
            <family val="2"/>
          </rPr>
          <t>Solver found an integer solution within tolerance. All constraints are satisfied.</t>
        </r>
      </text>
    </comment>
    <comment ref="E48" authorId="0" shapeId="0" xr:uid="{507F5D6F-976B-4D1C-9E59-BCDEBB2F9C1B}">
      <text>
        <r>
          <rPr>
            <sz val="9"/>
            <color indexed="81"/>
            <rFont val="Tahoma"/>
            <family val="2"/>
          </rPr>
          <t>Solver found a solution. All constraints and optimality conditions are satisfied.</t>
        </r>
      </text>
    </comment>
    <comment ref="F48" authorId="0" shapeId="0" xr:uid="{F8A06FED-F7D4-49A3-A39B-1F2BF6B9D228}">
      <text>
        <r>
          <rPr>
            <sz val="9"/>
            <color indexed="81"/>
            <rFont val="Tahoma"/>
            <family val="2"/>
          </rPr>
          <t>Solver found a solution. All constraints and optimality conditions are satisfied.</t>
        </r>
      </text>
    </comment>
    <comment ref="G48" authorId="0" shapeId="0" xr:uid="{004C3334-D287-485D-B6CE-8A6DED8F75A7}">
      <text>
        <r>
          <rPr>
            <sz val="9"/>
            <color indexed="81"/>
            <rFont val="Tahoma"/>
            <family val="2"/>
          </rPr>
          <t>Solver found a solution. All constraints and optimality conditions are satisfied.</t>
        </r>
      </text>
    </comment>
    <comment ref="B49" authorId="0" shapeId="0" xr:uid="{465F3677-D840-4C79-B0BA-4C5435C895AE}">
      <text>
        <r>
          <rPr>
            <sz val="9"/>
            <color rgb="FF000000"/>
            <rFont val="Tahoma"/>
            <family val="2"/>
          </rPr>
          <t>Solver found a solution. All constraints and optimality conditions are satisfied.</t>
        </r>
      </text>
    </comment>
    <comment ref="C49" authorId="0" shapeId="0" xr:uid="{12307F5D-D6DB-42FC-AEEC-287FE2102D41}">
      <text>
        <r>
          <rPr>
            <sz val="9"/>
            <color indexed="81"/>
            <rFont val="Tahoma"/>
            <family val="2"/>
          </rPr>
          <t>Solver found an integer solution within tolerance. All constraints are satisfied.</t>
        </r>
      </text>
    </comment>
    <comment ref="D49" authorId="0" shapeId="0" xr:uid="{8C4A16C5-C9CE-43CA-B223-66481BB7EF41}">
      <text>
        <r>
          <rPr>
            <sz val="9"/>
            <color indexed="81"/>
            <rFont val="Tahoma"/>
            <family val="2"/>
          </rPr>
          <t>Solver found an integer solution within tolerance. All constraints are satisfied.</t>
        </r>
      </text>
    </comment>
    <comment ref="E49" authorId="0" shapeId="0" xr:uid="{7D1BD7C0-374E-4629-A953-F93C1FB0ADF1}">
      <text>
        <r>
          <rPr>
            <sz val="9"/>
            <color indexed="81"/>
            <rFont val="Tahoma"/>
            <family val="2"/>
          </rPr>
          <t>Solver found an integer solution within tolerance. All constraints are satisfied.</t>
        </r>
      </text>
    </comment>
    <comment ref="F49" authorId="0" shapeId="0" xr:uid="{03D11EFD-D498-400C-9676-3FCE70986EDF}">
      <text>
        <r>
          <rPr>
            <sz val="9"/>
            <color indexed="81"/>
            <rFont val="Tahoma"/>
            <family val="2"/>
          </rPr>
          <t>Solver found a solution. All constraints and optimality conditions are satisfied.</t>
        </r>
      </text>
    </comment>
    <comment ref="G49" authorId="0" shapeId="0" xr:uid="{E83ED13C-7009-4294-898E-E04FE103412B}">
      <text>
        <r>
          <rPr>
            <sz val="9"/>
            <color rgb="FF000000"/>
            <rFont val="Tahoma"/>
            <family val="2"/>
          </rPr>
          <t>Solver found a solution. All constraints and optimality conditions are satisfied.</t>
        </r>
      </text>
    </comment>
    <comment ref="B50" authorId="0" shapeId="0" xr:uid="{E74263C4-8517-4377-AF38-032103C0831C}">
      <text>
        <r>
          <rPr>
            <sz val="9"/>
            <color rgb="FF000000"/>
            <rFont val="Tahoma"/>
            <family val="2"/>
          </rPr>
          <t>Solver found a solution. All constraints and optimality conditions are satisfied.</t>
        </r>
      </text>
    </comment>
    <comment ref="C50" authorId="0" shapeId="0" xr:uid="{2BD1CCE3-F3F9-413A-8DB3-3BD2F466FD61}">
      <text>
        <r>
          <rPr>
            <sz val="9"/>
            <color rgb="FF000000"/>
            <rFont val="Tahoma"/>
            <family val="2"/>
          </rPr>
          <t>Solver found an integer solution within tolerance. All constraints are satisfied.</t>
        </r>
      </text>
    </comment>
    <comment ref="D50" authorId="0" shapeId="0" xr:uid="{4D07D62B-0B4B-4900-AA5C-1DB52B1995A3}">
      <text>
        <r>
          <rPr>
            <sz val="9"/>
            <color indexed="81"/>
            <rFont val="Tahoma"/>
            <family val="2"/>
          </rPr>
          <t>Solver found an integer solution within tolerance. All constraints are satisfied.</t>
        </r>
      </text>
    </comment>
    <comment ref="E50" authorId="0" shapeId="0" xr:uid="{3C573FBB-E9AF-46B7-8F70-6907FF25C7CE}">
      <text>
        <r>
          <rPr>
            <sz val="9"/>
            <color indexed="81"/>
            <rFont val="Tahoma"/>
            <family val="2"/>
          </rPr>
          <t>Solver found an integer solution within tolerance. All constraints are satisfied.</t>
        </r>
      </text>
    </comment>
    <comment ref="F50" authorId="0" shapeId="0" xr:uid="{43C05828-0AFE-4EAC-960A-36D871D1021D}">
      <text>
        <r>
          <rPr>
            <sz val="9"/>
            <color indexed="81"/>
            <rFont val="Tahoma"/>
            <family val="2"/>
          </rPr>
          <t>Solver found an integer solution within tolerance. All constraints are satisfied.</t>
        </r>
      </text>
    </comment>
    <comment ref="G50" authorId="0" shapeId="0" xr:uid="{9EB16FFA-BD57-4FAD-A1DA-2D844031E45B}">
      <text>
        <r>
          <rPr>
            <sz val="9"/>
            <color indexed="81"/>
            <rFont val="Tahoma"/>
            <family val="2"/>
          </rPr>
          <t>Solver found a solution. All constraints and optimality conditions are satisfied.</t>
        </r>
      </text>
    </comment>
    <comment ref="B51" authorId="0" shapeId="0" xr:uid="{E8FCE90F-3330-411C-9DD6-D03CBB90103B}">
      <text>
        <r>
          <rPr>
            <sz val="9"/>
            <color indexed="81"/>
            <rFont val="Tahoma"/>
            <family val="2"/>
          </rPr>
          <t>Solver found a solution. All constraints and optimality conditions are satisfied.</t>
        </r>
      </text>
    </comment>
    <comment ref="C51" authorId="0" shapeId="0" xr:uid="{F89FE899-726D-4EDF-85FD-5BB76C5B1B14}">
      <text>
        <r>
          <rPr>
            <sz val="9"/>
            <color rgb="FF000000"/>
            <rFont val="Tahoma"/>
            <family val="2"/>
          </rPr>
          <t>Solver found a solution. All constraints and optimality conditions are satisfied.</t>
        </r>
      </text>
    </comment>
    <comment ref="D51" authorId="0" shapeId="0" xr:uid="{5EBC0C2D-587D-461A-9599-A3BF614C4B46}">
      <text>
        <r>
          <rPr>
            <sz val="9"/>
            <color indexed="81"/>
            <rFont val="Tahoma"/>
            <family val="2"/>
          </rPr>
          <t>Solver found an integer solution within tolerance. All constraints are satisfied.</t>
        </r>
      </text>
    </comment>
    <comment ref="E51" authorId="0" shapeId="0" xr:uid="{045AC5BF-7250-4F08-A659-6272664D0688}">
      <text>
        <r>
          <rPr>
            <sz val="9"/>
            <color rgb="FF000000"/>
            <rFont val="Tahoma"/>
            <family val="2"/>
          </rPr>
          <t>Solver found an integer solution within tolerance. All constraints are satisfied.</t>
        </r>
      </text>
    </comment>
    <comment ref="F51" authorId="0" shapeId="0" xr:uid="{91D19C9D-4221-4AD3-A7DA-D887A4DF88FE}">
      <text>
        <r>
          <rPr>
            <sz val="9"/>
            <color indexed="81"/>
            <rFont val="Tahoma"/>
            <family val="2"/>
          </rPr>
          <t>Solver found an integer solution within tolerance. All constraints are satisfied.</t>
        </r>
      </text>
    </comment>
    <comment ref="G51" authorId="0" shapeId="0" xr:uid="{3988CF0B-9913-4442-BBFF-BE9E32CD4C11}">
      <text>
        <r>
          <rPr>
            <sz val="9"/>
            <color indexed="81"/>
            <rFont val="Tahoma"/>
            <family val="2"/>
          </rPr>
          <t>Solver found a solution. All constraints and optimality conditions are satisfied.</t>
        </r>
      </text>
    </comment>
    <comment ref="B52" authorId="0" shapeId="0" xr:uid="{347FB2D2-EE26-4A6A-BD87-1752BC6CA37D}">
      <text>
        <r>
          <rPr>
            <sz val="9"/>
            <color indexed="81"/>
            <rFont val="Tahoma"/>
            <family val="2"/>
          </rPr>
          <t>Solver found a solution. All constraints and optimality conditions are satisfied.</t>
        </r>
      </text>
    </comment>
    <comment ref="C52" authorId="0" shapeId="0" xr:uid="{FB60218F-47CC-4DA6-8510-592F4F6FC5C6}">
      <text>
        <r>
          <rPr>
            <sz val="9"/>
            <color rgb="FF000000"/>
            <rFont val="Tahoma"/>
            <family val="2"/>
          </rPr>
          <t>Solver found a solution. All constraints and optimality conditions are satisfied.</t>
        </r>
      </text>
    </comment>
    <comment ref="D52" authorId="0" shapeId="0" xr:uid="{0D828373-2779-4007-A8EC-CDEE9541E2A7}">
      <text>
        <r>
          <rPr>
            <sz val="9"/>
            <color indexed="81"/>
            <rFont val="Tahoma"/>
            <family val="2"/>
          </rPr>
          <t>Solver found an integer solution within tolerance. All constraints are satisfied.</t>
        </r>
      </text>
    </comment>
    <comment ref="E52" authorId="0" shapeId="0" xr:uid="{4A128A68-4C15-44BC-8D23-3DA82CFE7744}">
      <text>
        <r>
          <rPr>
            <sz val="9"/>
            <color indexed="81"/>
            <rFont val="Tahoma"/>
            <family val="2"/>
          </rPr>
          <t>Solver found an integer solution within tolerance. All constraints are satisfied.</t>
        </r>
      </text>
    </comment>
    <comment ref="F52" authorId="0" shapeId="0" xr:uid="{F47FFA2B-C236-40CE-AA08-E769217B47C0}">
      <text>
        <r>
          <rPr>
            <sz val="9"/>
            <color indexed="81"/>
            <rFont val="Tahoma"/>
            <family val="2"/>
          </rPr>
          <t>Solver found an integer solution within tolerance. All constraints are satisfied.</t>
        </r>
      </text>
    </comment>
    <comment ref="G52" authorId="0" shapeId="0" xr:uid="{A931693A-B848-474E-9226-3301C5F000F0}">
      <text>
        <r>
          <rPr>
            <sz val="9"/>
            <color indexed="81"/>
            <rFont val="Tahoma"/>
            <family val="2"/>
          </rPr>
          <t>Solver found an integer solution within tolerance. All constraints are satisfied.</t>
        </r>
      </text>
    </comment>
  </commentList>
</comments>
</file>

<file path=xl/sharedStrings.xml><?xml version="1.0" encoding="utf-8"?>
<sst xmlns="http://schemas.openxmlformats.org/spreadsheetml/2006/main" count="745" uniqueCount="176">
  <si>
    <t>Decision Variables</t>
  </si>
  <si>
    <t>Numbers of tellers -(9am-10am)</t>
  </si>
  <si>
    <t>Numbers of tellers -(10am-11am)</t>
  </si>
  <si>
    <t>Numbers of tellers -(11am-12pm)</t>
  </si>
  <si>
    <t>Numbers of tellers -(12pm-1pm)</t>
  </si>
  <si>
    <t>Numbers of tellers -(1pm-2pm)</t>
  </si>
  <si>
    <t>Numbers of tellers -(2pm-3pm)</t>
  </si>
  <si>
    <t>Numbers of tellers -(3pm-4pm)</t>
  </si>
  <si>
    <t>Numbers of tellers -(4pm-5pm)</t>
  </si>
  <si>
    <t>Numbers of tellers -(5pm-6pm)</t>
  </si>
  <si>
    <t>Numbers of tellers -(6pm-7pm)</t>
  </si>
  <si>
    <t>Objective function</t>
  </si>
  <si>
    <t>Constraints</t>
  </si>
  <si>
    <t>L.H.S</t>
  </si>
  <si>
    <t>R.H.S</t>
  </si>
  <si>
    <t>&gt;=</t>
  </si>
  <si>
    <t>Value</t>
  </si>
  <si>
    <t>Number of Full-time Tellers starting at 9am</t>
  </si>
  <si>
    <t>Number of Full-time Tellers starting at 10am</t>
  </si>
  <si>
    <t>Number of Full-time Tellers starting at 11am</t>
  </si>
  <si>
    <t>Number of Part-time Tellers starting at 9am</t>
  </si>
  <si>
    <t>Number of Part-time Tellers starting at 10am</t>
  </si>
  <si>
    <t>Number of Part-time Tellers starting at 11am</t>
  </si>
  <si>
    <t>Number of Part-time Tellers starting at 12pm</t>
  </si>
  <si>
    <t>Number of Part-time Tellers starting at 1pm</t>
  </si>
  <si>
    <t>Number of Part-time Tellers starting at 2pm</t>
  </si>
  <si>
    <t>Number of Part-time Tellers starting at 3pm</t>
  </si>
  <si>
    <t>FT1=</t>
  </si>
  <si>
    <t>FT2=</t>
  </si>
  <si>
    <t>FT3=</t>
  </si>
  <si>
    <t>PT1=</t>
  </si>
  <si>
    <t>PT2=</t>
  </si>
  <si>
    <t>PT3=</t>
  </si>
  <si>
    <t>PT4=</t>
  </si>
  <si>
    <t>PT5=</t>
  </si>
  <si>
    <t>PT6=</t>
  </si>
  <si>
    <t>PT7=</t>
  </si>
  <si>
    <t>9am</t>
  </si>
  <si>
    <t>10am</t>
  </si>
  <si>
    <t>11am</t>
  </si>
  <si>
    <t>12am</t>
  </si>
  <si>
    <t>1pm</t>
  </si>
  <si>
    <t>2pm</t>
  </si>
  <si>
    <t>3pm</t>
  </si>
  <si>
    <t>4pm</t>
  </si>
  <si>
    <t>5pm</t>
  </si>
  <si>
    <t>6pm</t>
  </si>
  <si>
    <t>Break</t>
  </si>
  <si>
    <t>Numbers of full time tellers -(9am-10am)</t>
  </si>
  <si>
    <t>Numbers of full time tellers -(10am-11am)</t>
  </si>
  <si>
    <t>Numbers of full time tellers -(11am-12pm)</t>
  </si>
  <si>
    <t>Numbers of full time tellers -(12pm-1pm)</t>
  </si>
  <si>
    <t>Numbers of full time tellers -(1pm-2pm)</t>
  </si>
  <si>
    <t>Numbers of full time tellers -(2pm-3pm)</t>
  </si>
  <si>
    <t>Numbers of full time tellers -(3pm-4pm)</t>
  </si>
  <si>
    <t>Numbers of full time tellers -(4pm-5pm)</t>
  </si>
  <si>
    <t>Numbers of full time tellers -(5pm-6pm)</t>
  </si>
  <si>
    <t>Numbers of full time tellers -(6pm-7pm)</t>
  </si>
  <si>
    <t>Number of full time tellers daily</t>
  </si>
  <si>
    <t>Q1- Formulate an integer programming model that can be used to develop a schedule that will satisfy customer service needs at a minimum total daily cost.</t>
  </si>
  <si>
    <t>Scheduling of Tellers for the Dublin branch of the ACE Bank</t>
  </si>
  <si>
    <t>Decision variables:</t>
  </si>
  <si>
    <t>Decision</t>
  </si>
  <si>
    <t>Denoted by</t>
  </si>
  <si>
    <t xml:space="preserve">FT1 </t>
  </si>
  <si>
    <t xml:space="preserve">FT2 </t>
  </si>
  <si>
    <t xml:space="preserve">FT3 </t>
  </si>
  <si>
    <t xml:space="preserve">PT1 </t>
  </si>
  <si>
    <t xml:space="preserve">PT2 </t>
  </si>
  <si>
    <t xml:space="preserve">PT3 </t>
  </si>
  <si>
    <t xml:space="preserve">PT4 </t>
  </si>
  <si>
    <t xml:space="preserve">PT5 </t>
  </si>
  <si>
    <t xml:space="preserve">PT6 </t>
  </si>
  <si>
    <t xml:space="preserve">PT7 </t>
  </si>
  <si>
    <t>Objective function:</t>
  </si>
  <si>
    <t>Minimize:</t>
  </si>
  <si>
    <t>Scheduling chart</t>
  </si>
  <si>
    <t>FT1</t>
  </si>
  <si>
    <t>FT2</t>
  </si>
  <si>
    <t>FT3</t>
  </si>
  <si>
    <t>PT1</t>
  </si>
  <si>
    <t>PT2</t>
  </si>
  <si>
    <t>PT3</t>
  </si>
  <si>
    <t>PT4</t>
  </si>
  <si>
    <t>PT5</t>
  </si>
  <si>
    <t>PT6</t>
  </si>
  <si>
    <t>PT7</t>
  </si>
  <si>
    <t>FT1 -Break</t>
  </si>
  <si>
    <t>FT2-Break</t>
  </si>
  <si>
    <t>FT3-Break</t>
  </si>
  <si>
    <t>266FT1 + 266FT2 + 266FT3 + 84PT1 + 84PT2 + 84PT3 + 84PT4 + 84PT5 + 84PT6 + 84PT7</t>
  </si>
  <si>
    <t>Constraints:</t>
  </si>
  <si>
    <t>Numbers of tellers between  9am and 10am</t>
  </si>
  <si>
    <t>Numbers of tellers between  10am and 11am</t>
  </si>
  <si>
    <t>Numbers of tellers between  11am and 12pm</t>
  </si>
  <si>
    <t>Numbers of tellers between  12pm and 1pm</t>
  </si>
  <si>
    <t>Numbers of tellers between  1pm and 2pm</t>
  </si>
  <si>
    <t>Numbers of tellers between  2pm and 3pm</t>
  </si>
  <si>
    <t>Numbers of tellers between  3pm and 4pm</t>
  </si>
  <si>
    <t>Numbers of tellers between  4pm and 5pm</t>
  </si>
  <si>
    <t>Numbers of tellers between  5pm and 6pm</t>
  </si>
  <si>
    <t>Numbers of tellers between  6pm and 7pm</t>
  </si>
  <si>
    <t>Time interval constraint</t>
  </si>
  <si>
    <t>Number of
Tellers</t>
  </si>
  <si>
    <t>Constraint
equation</t>
  </si>
  <si>
    <t xml:space="preserve">FT1 + PT1 </t>
  </si>
  <si>
    <t>FT1+FT2+PT1+PT2</t>
  </si>
  <si>
    <t>FT1+FT2+FT3+PT1+PT2+PT3</t>
  </si>
  <si>
    <t>FT1+FT2+FT3+PT1+PT2+PT3+PT4</t>
  </si>
  <si>
    <t>FT2+FT3+PT2+PT3+PT4+PT5</t>
  </si>
  <si>
    <t>FT1+FT3+PT3+PT4+PT5+PT6</t>
  </si>
  <si>
    <t>FT1+FT2+PT4+PT5+PT6+PT7</t>
  </si>
  <si>
    <t>FT1+FT2+FT3+PT5+PT6+PT7</t>
  </si>
  <si>
    <t>FT2+FT3+PT6+PT7</t>
  </si>
  <si>
    <t>FT3+PT7</t>
  </si>
  <si>
    <t>Denoted
by</t>
  </si>
  <si>
    <t>Time intervals</t>
  </si>
  <si>
    <t>Optimal schedule based on the model for the given constraints:</t>
  </si>
  <si>
    <t>Part-time employees</t>
  </si>
  <si>
    <t>Color coding for the scheduling chart:</t>
  </si>
  <si>
    <t>Full-time employees</t>
  </si>
  <si>
    <t>Q2-Solve the model using Excel Solver for the optimal schedule of tellers. Present the optimal schedule and comment on the solution.</t>
  </si>
  <si>
    <t xml:space="preserve">
Daily 
cost ($)</t>
  </si>
  <si>
    <t>Q3- After reviewing the solution in question 2, the bank manager has realized that some additional requirements must be incorporated into the schedule. Specifically, she wants to ensure that two full-time tellers are on duty at all time periods and that there is a staff of at least five full-time tellers working daily. Revise the model to incorporate these additional requirements. Present the new constraints in a mathematical form and incorporate them into the spreadsheet model. Solve the revised model, present the new schedule, and comment on the solution.</t>
  </si>
  <si>
    <t>12pm</t>
  </si>
  <si>
    <t>Q4-When finished with the revised model, the manager has realized again that she forgot one more requirement. According to the contract with the bank union, the number of full-time tellers per day should be at least 67% of the total number of full- and part-time tellers per day. Revise the model again, solve it, and present the new schedule. Comment on this solution and compare this solution with the previous two solutions in terms of the number of full-and part-time tellers and total daily cost.</t>
  </si>
  <si>
    <t xml:space="preserve">Comparison of solutions with different constraints </t>
  </si>
  <si>
    <t>Time interval</t>
  </si>
  <si>
    <t>With no constraints
on the part-time/full-time tellers(sol-2)</t>
  </si>
  <si>
    <t>With constraints
on the part-time/full-time tellers(sol-3)</t>
  </si>
  <si>
    <t>With constraints
of 67% full-time tellers(sol-4)</t>
  </si>
  <si>
    <t>Total number of Tellers working daily</t>
  </si>
  <si>
    <t>Daily cost(objective function)</t>
  </si>
  <si>
    <t>$E$16</t>
  </si>
  <si>
    <t>Input</t>
  </si>
  <si>
    <t>$C$59</t>
  </si>
  <si>
    <t>Oneway analysis for Solver model in Q5 -sol-one-way worksheet</t>
  </si>
  <si>
    <t>Input (cell $C$59) values along side, output cell(s) along top</t>
  </si>
  <si>
    <t>Data for chart</t>
  </si>
  <si>
    <t>Teller information</t>
  </si>
  <si>
    <t>Part-time teller</t>
  </si>
  <si>
    <t>Hourly 
cost</t>
  </si>
  <si>
    <t>Working
hours</t>
  </si>
  <si>
    <t>Total
daily cost</t>
  </si>
  <si>
    <t>Full-time teller</t>
  </si>
  <si>
    <t>$C$58</t>
  </si>
  <si>
    <t/>
  </si>
  <si>
    <t>Input1</t>
  </si>
  <si>
    <t>Input2</t>
  </si>
  <si>
    <t>Total number of full-time tellers</t>
  </si>
  <si>
    <t>Total number of part-time tellers</t>
  </si>
  <si>
    <t>$C$61,$C$62</t>
  </si>
  <si>
    <t>$C$61</t>
  </si>
  <si>
    <t>$C$62</t>
  </si>
  <si>
    <t>Twoway analysis for Solver model in Q5 -two-way worksheet</t>
  </si>
  <si>
    <t>Input1 (cell $C$58) values along side, Input2 (cell $C$59) values along top, output cell in corner</t>
  </si>
  <si>
    <t>Output and Input1 value for chart</t>
  </si>
  <si>
    <t>Output</t>
  </si>
  <si>
    <t>Input1 value</t>
  </si>
  <si>
    <t>Output and Input2 value for chart</t>
  </si>
  <si>
    <t>Input2 value</t>
  </si>
  <si>
    <t>Formulation for the new constraints:</t>
  </si>
  <si>
    <t>Time interval 
constraint</t>
  </si>
  <si>
    <t>FT1+FT2</t>
  </si>
  <si>
    <t>FT1+FT2+FT3</t>
  </si>
  <si>
    <t>FT2+FT3</t>
  </si>
  <si>
    <t>FT1+FT3</t>
  </si>
  <si>
    <t>0.67*(FT1+FT2+FT3+PT1+PT2+PT3+PT4+PT5+PT6+PT7)</t>
  </si>
  <si>
    <t>Q5- For the optimal model in question 4, develop an example of one-way and two-way sensitivity analysis (one example of each) using SolverTable for a parameter(s) of your choice. Present and briefly explain the results of your sensitivity analysis (use separate worksheets for each type of sensitivity analysis).</t>
  </si>
  <si>
    <t>This one-way analysis aims at investigating 
the effects of the contractual constraint percentage
on the total daily cost to run the branch</t>
  </si>
  <si>
    <t>One-way analysis:
Inputs for the analysis table</t>
  </si>
  <si>
    <t>Contractual obligation - 50% to 90%</t>
  </si>
  <si>
    <t>(existing 67% constraint model)</t>
  </si>
  <si>
    <t>Linear programming model formulations with Index Notations:</t>
  </si>
  <si>
    <t xml:space="preserve">Two-way analysis: Inputs </t>
  </si>
  <si>
    <t>Outputs: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</si>
</sst>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21">
    <font>
      <sz val="12"/>
      <color theme="1"/>
      <name val="Calibri"/>
      <family val="2"/>
      <scheme val="minor"/>
    </font>
    <font>
      <sz val="12"/>
      <color theme="1"/>
      <name val="Calibri"/>
      <family val="2"/>
      <scheme val="minor"/>
    </font>
    <font>
      <sz val="8"/>
      <name val="Calibri"/>
      <family val="2"/>
      <scheme val="minor"/>
    </font>
    <font>
      <sz val="11"/>
      <color theme="1"/>
      <name val="Calibri"/>
      <family val="2"/>
      <scheme val="minor"/>
    </font>
    <font>
      <sz val="12"/>
      <color rgb="FF000000"/>
      <name val="Calibri"/>
      <family val="2"/>
      <scheme val="minor"/>
    </font>
    <font>
      <sz val="12"/>
      <color rgb="FFFF0000"/>
      <name val="Calibri"/>
      <family val="2"/>
      <scheme val="minor"/>
    </font>
    <font>
      <u/>
      <sz val="12"/>
      <color theme="1"/>
      <name val="Calibri"/>
      <family val="2"/>
      <scheme val="minor"/>
    </font>
    <font>
      <sz val="14"/>
      <color theme="1"/>
      <name val="Calibri"/>
      <family val="2"/>
      <scheme val="minor"/>
    </font>
    <font>
      <i/>
      <u/>
      <sz val="14"/>
      <color theme="1"/>
      <name val="Calibri"/>
      <family val="2"/>
      <scheme val="minor"/>
    </font>
    <font>
      <i/>
      <u/>
      <sz val="12"/>
      <color theme="1"/>
      <name val="Calibri"/>
      <family val="2"/>
      <scheme val="minor"/>
    </font>
    <font>
      <b/>
      <i/>
      <u/>
      <sz val="14"/>
      <color theme="1"/>
      <name val="Calibri (Body)"/>
    </font>
    <font>
      <b/>
      <i/>
      <sz val="12"/>
      <color theme="1"/>
      <name val="Calibri"/>
      <family val="2"/>
      <scheme val="minor"/>
    </font>
    <font>
      <b/>
      <i/>
      <sz val="14"/>
      <color theme="1"/>
      <name val="Calibri"/>
      <family val="2"/>
      <scheme val="minor"/>
    </font>
    <font>
      <b/>
      <i/>
      <u/>
      <sz val="14"/>
      <color theme="1"/>
      <name val="Calibri"/>
      <family val="2"/>
      <scheme val="minor"/>
    </font>
    <font>
      <sz val="12"/>
      <color rgb="FFFF0000"/>
      <name val="Calibri (Body)"/>
    </font>
    <font>
      <i/>
      <u/>
      <sz val="14"/>
      <color theme="1"/>
      <name val="Calibri (Body)"/>
    </font>
    <font>
      <b/>
      <sz val="12"/>
      <color theme="1"/>
      <name val="Calibri"/>
      <family val="2"/>
      <scheme val="minor"/>
    </font>
    <font>
      <sz val="12"/>
      <color rgb="FFFFFFFF"/>
      <name val="Calibri"/>
      <family val="2"/>
      <scheme val="minor"/>
    </font>
    <font>
      <sz val="9"/>
      <color indexed="81"/>
      <name val="Tahoma"/>
      <family val="2"/>
    </font>
    <font>
      <b/>
      <u/>
      <sz val="12"/>
      <color theme="1"/>
      <name val="Calibri"/>
      <family val="2"/>
      <scheme val="minor"/>
    </font>
    <font>
      <sz val="9"/>
      <color rgb="FF000000"/>
      <name val="Tahoma"/>
      <family val="2"/>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E2EFDA"/>
        <bgColor rgb="FF000000"/>
      </patternFill>
    </fill>
    <fill>
      <patternFill patternType="solid">
        <fgColor rgb="FFD0CECE"/>
        <bgColor rgb="FF000000"/>
      </patternFill>
    </fill>
    <fill>
      <patternFill patternType="solid">
        <fgColor theme="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248">
    <xf numFmtId="0" fontId="0" fillId="0" borderId="0" xfId="0"/>
    <xf numFmtId="0" fontId="0" fillId="0" borderId="0" xfId="0" applyAlignment="1">
      <alignment horizontal="left"/>
    </xf>
    <xf numFmtId="0" fontId="0" fillId="0" borderId="0" xfId="0" applyAlignment="1"/>
    <xf numFmtId="44" fontId="0" fillId="0" borderId="0" xfId="1" applyFont="1" applyAlignment="1"/>
    <xf numFmtId="0" fontId="4" fillId="0" borderId="0" xfId="0" applyFont="1"/>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1" xfId="0" applyBorder="1"/>
    <xf numFmtId="0" fontId="6"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0" fillId="0" borderId="7" xfId="0" applyBorder="1"/>
    <xf numFmtId="0" fontId="0" fillId="0" borderId="1" xfId="0" applyBorder="1" applyAlignment="1">
      <alignment horizontal="center"/>
    </xf>
    <xf numFmtId="0" fontId="0" fillId="0" borderId="14" xfId="0" applyBorder="1"/>
    <xf numFmtId="0" fontId="0" fillId="0" borderId="4" xfId="0" applyBorder="1"/>
    <xf numFmtId="0" fontId="0" fillId="0" borderId="23" xfId="0" applyBorder="1"/>
    <xf numFmtId="0" fontId="4" fillId="0" borderId="4" xfId="0" applyFont="1" applyBorder="1" applyAlignment="1">
      <alignment horizontal="left"/>
    </xf>
    <xf numFmtId="0" fontId="11" fillId="5" borderId="18" xfId="0" applyFont="1" applyFill="1" applyBorder="1" applyAlignment="1">
      <alignment horizontal="center"/>
    </xf>
    <xf numFmtId="0" fontId="11" fillId="5" borderId="14" xfId="0" applyFont="1" applyFill="1" applyBorder="1" applyAlignment="1">
      <alignment horizontal="center"/>
    </xf>
    <xf numFmtId="0" fontId="5" fillId="0" borderId="14" xfId="0" applyFont="1" applyBorder="1" applyAlignment="1">
      <alignment horizontal="center"/>
    </xf>
    <xf numFmtId="0" fontId="0" fillId="0" borderId="1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1" fillId="5" borderId="1" xfId="0" applyFont="1" applyFill="1" applyBorder="1" applyAlignment="1">
      <alignment horizontal="center"/>
    </xf>
    <xf numFmtId="0" fontId="5" fillId="0" borderId="1" xfId="0" applyFont="1" applyBorder="1" applyAlignment="1">
      <alignment horizontal="center"/>
    </xf>
    <xf numFmtId="0" fontId="0" fillId="0" borderId="21" xfId="0" applyBorder="1" applyAlignment="1">
      <alignment horizontal="center"/>
    </xf>
    <xf numFmtId="0" fontId="11" fillId="5" borderId="21" xfId="0" applyFont="1" applyFill="1" applyBorder="1" applyAlignment="1">
      <alignment horizontal="center"/>
    </xf>
    <xf numFmtId="0" fontId="11" fillId="6" borderId="20" xfId="0" applyFont="1" applyFill="1" applyBorder="1" applyAlignment="1">
      <alignment horizontal="center"/>
    </xf>
    <xf numFmtId="0" fontId="11" fillId="6" borderId="1" xfId="0" applyFont="1" applyFill="1" applyBorder="1" applyAlignment="1">
      <alignment horizontal="center"/>
    </xf>
    <xf numFmtId="0" fontId="11" fillId="0" borderId="1" xfId="0" applyFont="1" applyBorder="1" applyAlignment="1">
      <alignment horizontal="center"/>
    </xf>
    <xf numFmtId="0" fontId="11" fillId="0" borderId="21" xfId="0" applyFon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11" fillId="0" borderId="23" xfId="0" applyFont="1" applyBorder="1" applyAlignment="1">
      <alignment horizontal="center"/>
    </xf>
    <xf numFmtId="0" fontId="11" fillId="6" borderId="23" xfId="0" applyFont="1" applyFill="1" applyBorder="1" applyAlignment="1">
      <alignment horizontal="center"/>
    </xf>
    <xf numFmtId="0" fontId="11" fillId="6" borderId="24" xfId="0" applyFont="1" applyFill="1" applyBorder="1" applyAlignment="1">
      <alignment horizontal="center"/>
    </xf>
    <xf numFmtId="44" fontId="0" fillId="0" borderId="0" xfId="1" applyFont="1" applyAlignment="1">
      <alignment horizontal="left"/>
    </xf>
    <xf numFmtId="0" fontId="12" fillId="4" borderId="0" xfId="0" applyFont="1" applyFill="1"/>
    <xf numFmtId="0" fontId="7" fillId="4" borderId="0" xfId="0" applyFont="1" applyFill="1"/>
    <xf numFmtId="0" fontId="12" fillId="3" borderId="0" xfId="0" applyFont="1" applyFill="1"/>
    <xf numFmtId="0" fontId="7" fillId="3" borderId="0" xfId="0" applyFont="1" applyFill="1"/>
    <xf numFmtId="0" fontId="0" fillId="0" borderId="5" xfId="0" applyBorder="1"/>
    <xf numFmtId="0" fontId="0" fillId="0" borderId="6" xfId="0" applyBorder="1"/>
    <xf numFmtId="0" fontId="0" fillId="0" borderId="2"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24" xfId="0" applyBorder="1" applyAlignment="1">
      <alignment horizontal="center"/>
    </xf>
    <xf numFmtId="0" fontId="0" fillId="0" borderId="30" xfId="0" applyBorder="1" applyAlignment="1">
      <alignment horizontal="left"/>
    </xf>
    <xf numFmtId="0" fontId="0" fillId="0" borderId="4" xfId="0"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24" xfId="0" applyFont="1" applyBorder="1" applyAlignment="1">
      <alignment horizontal="center"/>
    </xf>
    <xf numFmtId="0" fontId="0" fillId="0" borderId="20" xfId="0" applyBorder="1" applyAlignment="1"/>
    <xf numFmtId="44" fontId="0" fillId="0" borderId="21" xfId="1" applyFont="1" applyBorder="1" applyAlignment="1"/>
    <xf numFmtId="0" fontId="0" fillId="0" borderId="22" xfId="0" applyBorder="1" applyAlignment="1"/>
    <xf numFmtId="44" fontId="0" fillId="0" borderId="24" xfId="1" applyFont="1" applyBorder="1" applyAlignment="1"/>
    <xf numFmtId="0" fontId="0" fillId="0" borderId="18" xfId="0" applyBorder="1" applyAlignment="1"/>
    <xf numFmtId="44" fontId="0" fillId="0" borderId="19" xfId="1" applyFont="1" applyBorder="1" applyAlignment="1"/>
    <xf numFmtId="0" fontId="0" fillId="0" borderId="31" xfId="0" applyBorder="1" applyAlignment="1"/>
    <xf numFmtId="0" fontId="4" fillId="0" borderId="20" xfId="0" applyFont="1" applyBorder="1"/>
    <xf numFmtId="0" fontId="4" fillId="0" borderId="22" xfId="0" applyFont="1" applyBorder="1"/>
    <xf numFmtId="0" fontId="4" fillId="0" borderId="18" xfId="0" applyFont="1" applyBorder="1"/>
    <xf numFmtId="0" fontId="0" fillId="0" borderId="1" xfId="0" applyFill="1" applyBorder="1" applyAlignment="1">
      <alignment horizontal="center"/>
    </xf>
    <xf numFmtId="0" fontId="0" fillId="0" borderId="21" xfId="0" applyFill="1" applyBorder="1" applyAlignment="1">
      <alignment horizontal="center"/>
    </xf>
    <xf numFmtId="0" fontId="0" fillId="0" borderId="23" xfId="0" applyFill="1" applyBorder="1" applyAlignment="1">
      <alignment horizontal="center"/>
    </xf>
    <xf numFmtId="0" fontId="4" fillId="0" borderId="7" xfId="0" applyFont="1" applyBorder="1" applyAlignment="1">
      <alignment horizontal="left"/>
    </xf>
    <xf numFmtId="0" fontId="0" fillId="0" borderId="25" xfId="0" applyFill="1" applyBorder="1" applyAlignment="1">
      <alignment horizontal="center"/>
    </xf>
    <xf numFmtId="0" fontId="0" fillId="0" borderId="35" xfId="0" applyFill="1" applyBorder="1" applyAlignment="1">
      <alignment horizontal="center"/>
    </xf>
    <xf numFmtId="0" fontId="4" fillId="0" borderId="36" xfId="0" applyFont="1" applyBorder="1"/>
    <xf numFmtId="0" fontId="4" fillId="0" borderId="37" xfId="0" applyFont="1" applyBorder="1"/>
    <xf numFmtId="0" fontId="4" fillId="0" borderId="38" xfId="0" applyFont="1" applyBorder="1"/>
    <xf numFmtId="0" fontId="0" fillId="5" borderId="3" xfId="0" applyFill="1" applyBorder="1" applyAlignment="1">
      <alignment horizontal="center"/>
    </xf>
    <xf numFmtId="0" fontId="0" fillId="5" borderId="1" xfId="0" applyFill="1" applyBorder="1" applyAlignment="1">
      <alignment horizontal="center"/>
    </xf>
    <xf numFmtId="0" fontId="0" fillId="5" borderId="21" xfId="0" applyFill="1" applyBorder="1" applyAlignment="1">
      <alignment horizontal="center"/>
    </xf>
    <xf numFmtId="0" fontId="5" fillId="5" borderId="1" xfId="0" applyFont="1" applyFill="1" applyBorder="1" applyAlignment="1">
      <alignment horizontal="center"/>
    </xf>
    <xf numFmtId="0" fontId="0" fillId="7" borderId="25" xfId="0" applyFill="1" applyBorder="1" applyAlignment="1">
      <alignment horizontal="center"/>
    </xf>
    <xf numFmtId="0" fontId="0" fillId="7" borderId="1" xfId="0" applyFill="1" applyBorder="1" applyAlignment="1">
      <alignment horizontal="center"/>
    </xf>
    <xf numFmtId="0" fontId="0" fillId="7" borderId="23" xfId="0" applyFill="1" applyBorder="1" applyAlignment="1">
      <alignment horizontal="center"/>
    </xf>
    <xf numFmtId="0" fontId="0" fillId="7" borderId="24" xfId="0" applyFill="1" applyBorder="1" applyAlignment="1">
      <alignment horizontal="center"/>
    </xf>
    <xf numFmtId="0" fontId="0" fillId="0" borderId="4" xfId="0" applyBorder="1" applyAlignment="1">
      <alignment horizontal="center" wrapText="1"/>
    </xf>
    <xf numFmtId="0" fontId="0" fillId="2" borderId="14" xfId="0" applyFill="1" applyBorder="1" applyAlignment="1">
      <alignment horizontal="center"/>
    </xf>
    <xf numFmtId="0" fontId="0" fillId="2" borderId="1" xfId="0" applyFill="1" applyBorder="1" applyAlignment="1">
      <alignment horizontal="center"/>
    </xf>
    <xf numFmtId="0" fontId="0" fillId="2" borderId="23" xfId="0" applyFill="1" applyBorder="1" applyAlignment="1">
      <alignment horizontal="center"/>
    </xf>
    <xf numFmtId="44" fontId="0" fillId="4" borderId="7" xfId="1" applyFont="1" applyFill="1" applyBorder="1" applyAlignment="1"/>
    <xf numFmtId="0" fontId="0" fillId="0" borderId="0" xfId="0" applyFill="1" applyBorder="1" applyAlignment="1">
      <alignment horizontal="left"/>
    </xf>
    <xf numFmtId="44" fontId="0" fillId="0" borderId="0" xfId="1" applyFont="1" applyFill="1" applyBorder="1" applyAlignment="1"/>
    <xf numFmtId="0" fontId="11" fillId="0" borderId="0" xfId="0" applyFont="1" applyAlignment="1"/>
    <xf numFmtId="0" fontId="6" fillId="0" borderId="0" xfId="0" applyFont="1" applyAlignment="1">
      <alignment horizontal="left" indent="2"/>
    </xf>
    <xf numFmtId="0" fontId="4" fillId="8" borderId="1" xfId="0" applyFont="1" applyFill="1" applyBorder="1"/>
    <xf numFmtId="0" fontId="4" fillId="0" borderId="25" xfId="0" applyFont="1" applyBorder="1"/>
    <xf numFmtId="0" fontId="4" fillId="9" borderId="14" xfId="0" applyFont="1" applyFill="1" applyBorder="1"/>
    <xf numFmtId="0" fontId="4" fillId="0" borderId="3" xfId="0" applyFont="1" applyBorder="1"/>
    <xf numFmtId="0" fontId="13" fillId="0" borderId="0" xfId="0" applyFont="1" applyFill="1" applyAlignment="1">
      <alignment horizontal="center"/>
    </xf>
    <xf numFmtId="0" fontId="0" fillId="2" borderId="4" xfId="0" applyFill="1" applyBorder="1" applyAlignment="1">
      <alignment horizontal="center"/>
    </xf>
    <xf numFmtId="0" fontId="0" fillId="3" borderId="4" xfId="0" applyFill="1" applyBorder="1" applyAlignment="1">
      <alignment horizontal="center"/>
    </xf>
    <xf numFmtId="44" fontId="0" fillId="0" borderId="19" xfId="1" applyFont="1" applyBorder="1" applyAlignment="1">
      <alignment horizontal="center"/>
    </xf>
    <xf numFmtId="44" fontId="0" fillId="0" borderId="21" xfId="1" applyFont="1" applyBorder="1" applyAlignment="1">
      <alignment horizontal="center"/>
    </xf>
    <xf numFmtId="44" fontId="0" fillId="0" borderId="24" xfId="1" applyFont="1" applyBorder="1" applyAlignment="1">
      <alignment horizontal="center"/>
    </xf>
    <xf numFmtId="44" fontId="0" fillId="0" borderId="0" xfId="1" applyFont="1" applyBorder="1" applyAlignment="1"/>
    <xf numFmtId="0" fontId="0" fillId="5" borderId="14" xfId="0" applyFill="1" applyBorder="1" applyAlignment="1">
      <alignment horizontal="center"/>
    </xf>
    <xf numFmtId="0" fontId="0" fillId="6" borderId="1"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14" fillId="5" borderId="1" xfId="0" applyFont="1" applyFill="1" applyBorder="1" applyAlignment="1">
      <alignment horizontal="center"/>
    </xf>
    <xf numFmtId="0" fontId="0" fillId="3" borderId="3" xfId="0" applyFill="1" applyBorder="1" applyAlignment="1">
      <alignment horizontal="center"/>
    </xf>
    <xf numFmtId="0" fontId="0" fillId="3" borderId="25" xfId="0" applyFill="1" applyBorder="1" applyAlignment="1">
      <alignment horizontal="center"/>
    </xf>
    <xf numFmtId="0" fontId="0" fillId="3" borderId="35" xfId="0" applyFill="1" applyBorder="1" applyAlignment="1">
      <alignment horizontal="center"/>
    </xf>
    <xf numFmtId="0" fontId="3" fillId="3" borderId="19" xfId="0" applyFont="1" applyFill="1" applyBorder="1" applyAlignment="1">
      <alignment horizontal="center"/>
    </xf>
    <xf numFmtId="0" fontId="3" fillId="3" borderId="21" xfId="0" applyFont="1" applyFill="1" applyBorder="1" applyAlignment="1">
      <alignment horizontal="center"/>
    </xf>
    <xf numFmtId="0" fontId="3" fillId="3" borderId="24" xfId="0" applyFont="1" applyFill="1" applyBorder="1" applyAlignment="1">
      <alignment horizontal="center"/>
    </xf>
    <xf numFmtId="0" fontId="0" fillId="3" borderId="4" xfId="0" applyFill="1" applyBorder="1" applyAlignment="1"/>
    <xf numFmtId="0" fontId="0" fillId="3" borderId="14" xfId="0" applyFill="1" applyBorder="1" applyAlignment="1">
      <alignment horizontal="center"/>
    </xf>
    <xf numFmtId="0" fontId="0" fillId="3" borderId="1" xfId="0" applyFill="1" applyBorder="1" applyAlignment="1">
      <alignment horizontal="center"/>
    </xf>
    <xf numFmtId="0" fontId="0" fillId="3" borderId="23" xfId="0" applyFill="1" applyBorder="1" applyAlignment="1">
      <alignment horizontal="center"/>
    </xf>
    <xf numFmtId="0" fontId="0" fillId="2" borderId="26" xfId="0" applyFill="1" applyBorder="1" applyAlignment="1">
      <alignment horizontal="center"/>
    </xf>
    <xf numFmtId="0" fontId="0" fillId="0" borderId="26" xfId="0" applyBorder="1" applyAlignment="1">
      <alignment horizontal="center" wrapText="1"/>
    </xf>
    <xf numFmtId="0" fontId="0" fillId="0" borderId="26" xfId="0" applyBorder="1" applyAlignment="1">
      <alignment horizontal="center"/>
    </xf>
    <xf numFmtId="44" fontId="0" fillId="0" borderId="33" xfId="1" applyFont="1" applyBorder="1" applyAlignment="1"/>
    <xf numFmtId="0" fontId="0" fillId="0" borderId="32" xfId="0" applyBorder="1" applyAlignment="1">
      <alignment horizontal="center"/>
    </xf>
    <xf numFmtId="0" fontId="0" fillId="2" borderId="32" xfId="0" applyFill="1" applyBorder="1" applyAlignment="1">
      <alignment horizontal="center"/>
    </xf>
    <xf numFmtId="0" fontId="14" fillId="8" borderId="1" xfId="0" applyFont="1" applyFill="1" applyBorder="1" applyAlignment="1">
      <alignment horizontal="center"/>
    </xf>
    <xf numFmtId="0" fontId="15" fillId="0" borderId="0" xfId="0" applyFont="1"/>
    <xf numFmtId="0" fontId="0" fillId="0" borderId="4" xfId="0" applyFont="1" applyBorder="1" applyAlignment="1">
      <alignment horizontal="center" vertical="center"/>
    </xf>
    <xf numFmtId="0" fontId="0" fillId="0" borderId="20" xfId="0" applyFill="1" applyBorder="1" applyAlignment="1"/>
    <xf numFmtId="0" fontId="0" fillId="0" borderId="22" xfId="0" applyFill="1" applyBorder="1" applyAlignment="1"/>
    <xf numFmtId="0" fontId="0" fillId="0" borderId="26" xfId="0" applyBorder="1" applyAlignment="1">
      <alignment horizontal="center" wrapText="1"/>
    </xf>
    <xf numFmtId="0" fontId="0" fillId="0" borderId="26" xfId="0" applyBorder="1" applyAlignment="1">
      <alignment horizontal="center"/>
    </xf>
    <xf numFmtId="0" fontId="0" fillId="0" borderId="20" xfId="0" applyBorder="1" applyAlignment="1"/>
    <xf numFmtId="0" fontId="0" fillId="0" borderId="22" xfId="0" applyBorder="1" applyAlignment="1"/>
    <xf numFmtId="0" fontId="0" fillId="0" borderId="18" xfId="0" applyBorder="1" applyAlignment="1"/>
    <xf numFmtId="0" fontId="0" fillId="0" borderId="1" xfId="0" applyBorder="1" applyAlignment="1">
      <alignment horizontal="center"/>
    </xf>
    <xf numFmtId="49" fontId="0" fillId="0" borderId="0" xfId="0" applyNumberFormat="1"/>
    <xf numFmtId="0" fontId="16" fillId="0" borderId="0" xfId="0" applyFont="1"/>
    <xf numFmtId="0" fontId="0" fillId="0" borderId="0" xfId="0" applyNumberFormat="1"/>
    <xf numFmtId="0" fontId="0" fillId="0" borderId="0" xfId="0" applyAlignment="1">
      <alignment horizontal="right" textRotation="90"/>
    </xf>
    <xf numFmtId="0" fontId="0" fillId="11" borderId="0" xfId="0" applyFill="1" applyAlignment="1">
      <alignment horizontal="right" textRotation="90"/>
    </xf>
    <xf numFmtId="0" fontId="17" fillId="0" borderId="0" xfId="0" applyFont="1"/>
    <xf numFmtId="6" fontId="0" fillId="0" borderId="0" xfId="0" applyNumberFormat="1"/>
    <xf numFmtId="0" fontId="19" fillId="0" borderId="0" xfId="0" applyFont="1"/>
    <xf numFmtId="0" fontId="0" fillId="0" borderId="23" xfId="0" applyBorder="1" applyAlignment="1">
      <alignment horizontal="left"/>
    </xf>
    <xf numFmtId="0" fontId="0" fillId="0" borderId="20" xfId="0" applyBorder="1" applyAlignment="1"/>
    <xf numFmtId="0" fontId="0" fillId="0" borderId="22" xfId="0" applyBorder="1" applyAlignment="1"/>
    <xf numFmtId="0" fontId="0" fillId="0" borderId="18" xfId="0" applyBorder="1" applyAlignment="1"/>
    <xf numFmtId="0" fontId="0" fillId="0" borderId="1" xfId="0" applyBorder="1" applyAlignment="1">
      <alignment horizontal="center"/>
    </xf>
    <xf numFmtId="0" fontId="0" fillId="0" borderId="0" xfId="0" applyAlignment="1">
      <alignment horizontal="right"/>
    </xf>
    <xf numFmtId="0" fontId="0" fillId="12" borderId="0" xfId="0" applyFill="1"/>
    <xf numFmtId="0" fontId="0" fillId="0" borderId="44" xfId="0" applyNumberFormat="1" applyBorder="1"/>
    <xf numFmtId="0" fontId="0" fillId="0" borderId="47" xfId="0" applyNumberFormat="1" applyBorder="1"/>
    <xf numFmtId="0" fontId="0" fillId="0" borderId="2" xfId="0" applyNumberFormat="1" applyBorder="1"/>
    <xf numFmtId="0" fontId="0" fillId="0" borderId="45" xfId="0" applyNumberFormat="1" applyBorder="1"/>
    <xf numFmtId="0" fontId="0" fillId="0" borderId="0" xfId="0" applyNumberFormat="1" applyBorder="1"/>
    <xf numFmtId="0" fontId="0" fillId="0" borderId="49" xfId="0" applyNumberFormat="1" applyBorder="1"/>
    <xf numFmtId="0" fontId="0" fillId="0" borderId="46" xfId="0" applyNumberFormat="1" applyBorder="1"/>
    <xf numFmtId="0" fontId="0" fillId="0" borderId="48" xfId="0" applyNumberFormat="1" applyBorder="1"/>
    <xf numFmtId="0" fontId="0" fillId="0" borderId="3" xfId="0" applyNumberFormat="1" applyBorder="1"/>
    <xf numFmtId="0" fontId="3" fillId="0" borderId="21" xfId="0" applyFont="1" applyFill="1" applyBorder="1" applyAlignment="1">
      <alignment horizontal="center"/>
    </xf>
    <xf numFmtId="0" fontId="0" fillId="0" borderId="4" xfId="0" applyBorder="1" applyAlignment="1">
      <alignment wrapText="1"/>
    </xf>
    <xf numFmtId="0" fontId="3" fillId="0" borderId="19" xfId="0" applyFont="1" applyFill="1" applyBorder="1" applyAlignment="1">
      <alignment horizontal="center"/>
    </xf>
    <xf numFmtId="0" fontId="0" fillId="0" borderId="0" xfId="0" applyBorder="1" applyAlignment="1">
      <alignment wrapText="1"/>
    </xf>
    <xf numFmtId="0" fontId="0" fillId="13" borderId="22" xfId="0" applyFill="1" applyBorder="1" applyAlignment="1"/>
    <xf numFmtId="0" fontId="0" fillId="13" borderId="23" xfId="0" applyFill="1" applyBorder="1" applyAlignment="1">
      <alignment horizontal="center"/>
    </xf>
    <xf numFmtId="0" fontId="3" fillId="13" borderId="24" xfId="0" applyFont="1" applyFill="1" applyBorder="1" applyAlignment="1">
      <alignment horizontal="center"/>
    </xf>
    <xf numFmtId="0" fontId="0" fillId="13" borderId="20" xfId="0" applyFill="1" applyBorder="1" applyAlignment="1"/>
    <xf numFmtId="0" fontId="0" fillId="13" borderId="1" xfId="0" applyFill="1" applyBorder="1" applyAlignment="1">
      <alignment horizontal="center"/>
    </xf>
    <xf numFmtId="0" fontId="3" fillId="13" borderId="21" xfId="0" applyFont="1" applyFill="1" applyBorder="1" applyAlignment="1">
      <alignment horizontal="center"/>
    </xf>
    <xf numFmtId="0" fontId="0" fillId="0" borderId="0" xfId="0" applyBorder="1" applyAlignment="1">
      <alignment horizontal="center" wrapText="1"/>
    </xf>
    <xf numFmtId="0" fontId="0" fillId="0" borderId="0" xfId="0" applyFont="1" applyFill="1" applyBorder="1" applyAlignment="1">
      <alignment horizontal="center" vertical="center"/>
    </xf>
    <xf numFmtId="0" fontId="0" fillId="0" borderId="0" xfId="0" applyFill="1" applyBorder="1"/>
    <xf numFmtId="0" fontId="0" fillId="0" borderId="0" xfId="0" applyFill="1" applyBorder="1" applyAlignment="1"/>
    <xf numFmtId="0" fontId="4" fillId="0" borderId="0" xfId="0" applyFont="1" applyFill="1" applyBorder="1"/>
    <xf numFmtId="0" fontId="0" fillId="0" borderId="4" xfId="0" applyBorder="1" applyAlignment="1">
      <alignment vertical="center" wrapText="1"/>
    </xf>
    <xf numFmtId="44" fontId="0" fillId="5" borderId="42" xfId="0" applyNumberFormat="1" applyFill="1" applyBorder="1"/>
    <xf numFmtId="44" fontId="0" fillId="5" borderId="43" xfId="0" applyNumberFormat="1" applyFill="1" applyBorder="1"/>
    <xf numFmtId="44" fontId="0" fillId="15" borderId="43" xfId="0" applyNumberFormat="1" applyFill="1" applyBorder="1"/>
    <xf numFmtId="44" fontId="0" fillId="11" borderId="43" xfId="0" applyNumberFormat="1" applyFill="1" applyBorder="1"/>
    <xf numFmtId="44" fontId="0" fillId="3" borderId="43" xfId="0" applyNumberFormat="1" applyFill="1" applyBorder="1"/>
    <xf numFmtId="44" fontId="0" fillId="14" borderId="43" xfId="0" applyNumberFormat="1" applyFill="1" applyBorder="1"/>
    <xf numFmtId="44" fontId="0" fillId="14" borderId="14" xfId="0" applyNumberFormat="1" applyFill="1" applyBorder="1"/>
    <xf numFmtId="0" fontId="13" fillId="0" borderId="0" xfId="0" applyFont="1"/>
    <xf numFmtId="6" fontId="0" fillId="0" borderId="1" xfId="0" applyNumberFormat="1" applyBorder="1"/>
    <xf numFmtId="6" fontId="0" fillId="0" borderId="14" xfId="0" applyNumberFormat="1" applyBorder="1"/>
    <xf numFmtId="0" fontId="0" fillId="0" borderId="20" xfId="0" applyBorder="1" applyAlignment="1"/>
    <xf numFmtId="0" fontId="0" fillId="0" borderId="1" xfId="0" applyBorder="1" applyAlignment="1"/>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2" fillId="2" borderId="0" xfId="0" applyFont="1" applyFill="1" applyAlignment="1">
      <alignment horizontal="left"/>
    </xf>
    <xf numFmtId="0" fontId="0" fillId="0" borderId="18" xfId="0" applyBorder="1" applyAlignment="1"/>
    <xf numFmtId="0" fontId="0" fillId="0" borderId="14" xfId="0" applyBorder="1" applyAlignment="1"/>
    <xf numFmtId="0" fontId="0" fillId="0" borderId="22" xfId="0" applyBorder="1" applyAlignment="1"/>
    <xf numFmtId="0" fontId="0" fillId="0" borderId="23" xfId="0" applyBorder="1" applyAlignment="1"/>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0" fillId="0" borderId="20" xfId="0" applyBorder="1" applyAlignment="1">
      <alignment horizontal="left"/>
    </xf>
    <xf numFmtId="0" fontId="0" fillId="0" borderId="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26" xfId="0" applyBorder="1" applyAlignment="1">
      <alignment horizontal="center" wrapText="1"/>
    </xf>
    <xf numFmtId="0" fontId="0" fillId="0" borderId="27"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6" xfId="0" applyBorder="1" applyAlignment="1">
      <alignment horizontal="center"/>
    </xf>
    <xf numFmtId="0" fontId="0" fillId="0" borderId="0" xfId="0" applyAlignment="1">
      <alignment horizontal="left"/>
    </xf>
    <xf numFmtId="0" fontId="0" fillId="0" borderId="18" xfId="0" applyBorder="1" applyAlignment="1">
      <alignment horizontal="left"/>
    </xf>
    <xf numFmtId="0" fontId="0" fillId="0" borderId="14" xfId="0" applyBorder="1" applyAlignment="1">
      <alignment horizontal="left"/>
    </xf>
    <xf numFmtId="0" fontId="0" fillId="4" borderId="5" xfId="0" applyFill="1" applyBorder="1" applyAlignment="1">
      <alignment horizontal="left"/>
    </xf>
    <xf numFmtId="0" fontId="0" fillId="4" borderId="6" xfId="0" applyFill="1" applyBorder="1" applyAlignment="1">
      <alignment horizontal="left"/>
    </xf>
    <xf numFmtId="0" fontId="15" fillId="0" borderId="0" xfId="0" applyFont="1" applyAlignment="1">
      <alignment horizontal="left" vertical="top" wrapText="1"/>
    </xf>
    <xf numFmtId="0" fontId="0" fillId="0" borderId="0" xfId="0" applyAlignment="1">
      <alignment horizontal="left" vertical="top" wrapText="1"/>
    </xf>
    <xf numFmtId="0" fontId="0" fillId="0" borderId="5" xfId="0" applyBorder="1" applyAlignment="1">
      <alignment horizontal="center" wrapText="1"/>
    </xf>
    <xf numFmtId="0" fontId="0" fillId="0" borderId="7" xfId="0" applyBorder="1" applyAlignment="1">
      <alignment horizontal="center" wrapText="1"/>
    </xf>
    <xf numFmtId="0" fontId="15" fillId="0" borderId="0" xfId="0" applyFont="1" applyAlignment="1">
      <alignment wrapText="1"/>
    </xf>
    <xf numFmtId="0" fontId="0" fillId="0" borderId="0" xfId="0" applyAlignment="1">
      <alignment wrapText="1"/>
    </xf>
    <xf numFmtId="0" fontId="7"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7" xfId="0" applyFont="1" applyBorder="1" applyAlignment="1">
      <alignment horizontal="center" vertical="center" wrapText="1"/>
    </xf>
    <xf numFmtId="44" fontId="0" fillId="0" borderId="0" xfId="1" applyFont="1" applyFill="1" applyBorder="1" applyAlignment="1">
      <alignment horizontal="center"/>
    </xf>
    <xf numFmtId="0" fontId="0" fillId="0" borderId="0" xfId="0" applyFill="1" applyBorder="1" applyAlignment="1">
      <alignment horizontal="center"/>
    </xf>
    <xf numFmtId="0" fontId="7" fillId="5" borderId="40" xfId="0" applyFont="1" applyFill="1" applyBorder="1" applyAlignment="1">
      <alignment horizontal="center"/>
    </xf>
    <xf numFmtId="0" fontId="7" fillId="5" borderId="34" xfId="0" applyFont="1" applyFill="1" applyBorder="1" applyAlignment="1">
      <alignment horizontal="center"/>
    </xf>
    <xf numFmtId="0" fontId="7" fillId="5" borderId="39" xfId="0" applyFont="1" applyFill="1" applyBorder="1" applyAlignment="1">
      <alignment horizontal="center"/>
    </xf>
    <xf numFmtId="0" fontId="7" fillId="5" borderId="28" xfId="0" applyFont="1" applyFill="1" applyBorder="1" applyAlignment="1">
      <alignment horizontal="center"/>
    </xf>
    <xf numFmtId="0" fontId="7" fillId="5" borderId="25" xfId="0" applyFont="1" applyFill="1" applyBorder="1" applyAlignment="1">
      <alignment horizontal="center"/>
    </xf>
    <xf numFmtId="0" fontId="7" fillId="5" borderId="41" xfId="0" applyFont="1" applyFill="1" applyBorder="1" applyAlignment="1">
      <alignment horizontal="center"/>
    </xf>
    <xf numFmtId="0" fontId="7" fillId="10" borderId="28" xfId="0" applyFont="1" applyFill="1" applyBorder="1" applyAlignment="1">
      <alignment horizontal="center"/>
    </xf>
    <xf numFmtId="0" fontId="7" fillId="10" borderId="25" xfId="0" applyFont="1" applyFill="1" applyBorder="1" applyAlignment="1">
      <alignment horizontal="center"/>
    </xf>
    <xf numFmtId="0" fontId="7" fillId="10" borderId="41" xfId="0" applyFont="1" applyFill="1" applyBorder="1" applyAlignment="1">
      <alignment horizontal="center"/>
    </xf>
    <xf numFmtId="0" fontId="0" fillId="10" borderId="28" xfId="0" applyFont="1" applyFill="1" applyBorder="1" applyAlignment="1">
      <alignment horizontal="center"/>
    </xf>
    <xf numFmtId="0" fontId="0" fillId="10" borderId="25" xfId="0" applyFont="1" applyFill="1" applyBorder="1" applyAlignment="1">
      <alignment horizontal="center"/>
    </xf>
    <xf numFmtId="0" fontId="0" fillId="10" borderId="41" xfId="0" applyFont="1" applyFill="1" applyBorder="1" applyAlignment="1">
      <alignment horizontal="center"/>
    </xf>
    <xf numFmtId="0" fontId="0" fillId="0" borderId="1" xfId="0" applyBorder="1" applyAlignment="1">
      <alignment horizontal="center"/>
    </xf>
    <xf numFmtId="0" fontId="0" fillId="0" borderId="28" xfId="0" applyBorder="1" applyAlignment="1">
      <alignment horizontal="center"/>
    </xf>
    <xf numFmtId="0" fontId="0" fillId="0" borderId="25" xfId="0" applyBorder="1" applyAlignment="1">
      <alignment horizontal="center"/>
    </xf>
    <xf numFmtId="0" fontId="0" fillId="0" borderId="41" xfId="0" applyBorder="1" applyAlignment="1">
      <alignment horizontal="center"/>
    </xf>
    <xf numFmtId="44" fontId="0" fillId="0" borderId="23" xfId="1" applyFont="1" applyBorder="1" applyAlignment="1">
      <alignment horizontal="center"/>
    </xf>
    <xf numFmtId="44" fontId="0" fillId="0" borderId="24" xfId="1" applyFont="1" applyBorder="1" applyAlignment="1">
      <alignment horizontal="center"/>
    </xf>
    <xf numFmtId="0" fontId="0" fillId="0" borderId="45" xfId="0" applyBorder="1" applyAlignment="1">
      <alignment horizontal="center"/>
    </xf>
    <xf numFmtId="0" fontId="0" fillId="0" borderId="11" xfId="0"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'Q5-sensitivity analysis'!$K$1</c:f>
          <c:strCache>
            <c:ptCount val="1"/>
            <c:pt idx="0">
              <c:v>Sensitivity of $E$16 to Input</c:v>
            </c:pt>
          </c:strCache>
        </c:strRef>
      </c:tx>
      <c:layout>
        <c:manualLayout>
          <c:xMode val="edge"/>
          <c:yMode val="edge"/>
          <c:x val="0.31898398674765321"/>
          <c:y val="4.133545310015898E-2"/>
        </c:manualLayout>
      </c:layout>
      <c:overlay val="0"/>
      <c:txPr>
        <a:bodyPr/>
        <a:lstStyle/>
        <a:p>
          <a:pPr>
            <a:defRPr sz="1200"/>
          </a:pPr>
          <a:endParaRPr lang="en-US"/>
        </a:p>
      </c:txPr>
    </c:title>
    <c:autoTitleDeleted val="0"/>
    <c:plotArea>
      <c:layout/>
      <c:lineChart>
        <c:grouping val="standard"/>
        <c:varyColors val="0"/>
        <c:ser>
          <c:idx val="0"/>
          <c:order val="0"/>
          <c:cat>
            <c:numRef>
              <c:f>'Q5-sensitivity analysis'!$A$5:$A$45</c:f>
              <c:numCache>
                <c:formatCode>General</c:formatCode>
                <c:ptCount val="41"/>
                <c:pt idx="0">
                  <c:v>0.5</c:v>
                </c:pt>
                <c:pt idx="1">
                  <c:v>0.50999999046325684</c:v>
                </c:pt>
                <c:pt idx="2">
                  <c:v>0.51999998092651367</c:v>
                </c:pt>
                <c:pt idx="3">
                  <c:v>0.52999997138977051</c:v>
                </c:pt>
                <c:pt idx="4">
                  <c:v>0.54000002145767212</c:v>
                </c:pt>
                <c:pt idx="5">
                  <c:v>0.55000001192092896</c:v>
                </c:pt>
                <c:pt idx="6">
                  <c:v>0.56000000238418579</c:v>
                </c:pt>
                <c:pt idx="7">
                  <c:v>0.56999999284744263</c:v>
                </c:pt>
                <c:pt idx="8">
                  <c:v>0.57999998331069946</c:v>
                </c:pt>
                <c:pt idx="9">
                  <c:v>0.5899999737739563</c:v>
                </c:pt>
                <c:pt idx="10">
                  <c:v>0.60000002384185791</c:v>
                </c:pt>
                <c:pt idx="11">
                  <c:v>0.61000001430511475</c:v>
                </c:pt>
                <c:pt idx="12">
                  <c:v>0.62000000476837158</c:v>
                </c:pt>
                <c:pt idx="13">
                  <c:v>0.62999999523162842</c:v>
                </c:pt>
                <c:pt idx="14">
                  <c:v>0.63999998569488525</c:v>
                </c:pt>
                <c:pt idx="15">
                  <c:v>0.64999997615814209</c:v>
                </c:pt>
                <c:pt idx="16">
                  <c:v>0.65999996662139893</c:v>
                </c:pt>
                <c:pt idx="17">
                  <c:v>0.67000001668930054</c:v>
                </c:pt>
                <c:pt idx="18">
                  <c:v>0.68000000715255737</c:v>
                </c:pt>
                <c:pt idx="19">
                  <c:v>0.68999999761581421</c:v>
                </c:pt>
                <c:pt idx="20">
                  <c:v>0.69999998807907104</c:v>
                </c:pt>
                <c:pt idx="21">
                  <c:v>0.70999997854232788</c:v>
                </c:pt>
                <c:pt idx="22">
                  <c:v>0.71999996900558472</c:v>
                </c:pt>
                <c:pt idx="23">
                  <c:v>0.73000001907348633</c:v>
                </c:pt>
                <c:pt idx="24">
                  <c:v>0.74000000953674316</c:v>
                </c:pt>
                <c:pt idx="25">
                  <c:v>0.75</c:v>
                </c:pt>
                <c:pt idx="26">
                  <c:v>0.75999999046325684</c:v>
                </c:pt>
                <c:pt idx="27">
                  <c:v>0.76999998092651367</c:v>
                </c:pt>
                <c:pt idx="28">
                  <c:v>0.77999997138977051</c:v>
                </c:pt>
                <c:pt idx="29">
                  <c:v>0.79000002145767212</c:v>
                </c:pt>
                <c:pt idx="30">
                  <c:v>0.80000001192092896</c:v>
                </c:pt>
                <c:pt idx="31">
                  <c:v>0.81000000238418579</c:v>
                </c:pt>
                <c:pt idx="32">
                  <c:v>0.81999999284744263</c:v>
                </c:pt>
                <c:pt idx="33">
                  <c:v>0.82999998331069946</c:v>
                </c:pt>
                <c:pt idx="34">
                  <c:v>0.8399999737739563</c:v>
                </c:pt>
                <c:pt idx="35">
                  <c:v>0.84999996423721313</c:v>
                </c:pt>
                <c:pt idx="36">
                  <c:v>0.86000001430511475</c:v>
                </c:pt>
                <c:pt idx="37">
                  <c:v>0.87000000476837158</c:v>
                </c:pt>
                <c:pt idx="38">
                  <c:v>0.87999999523162842</c:v>
                </c:pt>
                <c:pt idx="39">
                  <c:v>0.88999998569488525</c:v>
                </c:pt>
                <c:pt idx="40">
                  <c:v>0.89999997615814209</c:v>
                </c:pt>
              </c:numCache>
            </c:numRef>
          </c:cat>
          <c:val>
            <c:numRef>
              <c:f>'Q5-sensitivity analysis'!$K$5:$K$45</c:f>
              <c:numCache>
                <c:formatCode>General</c:formatCode>
                <c:ptCount val="41"/>
                <c:pt idx="0">
                  <c:v>1666</c:v>
                </c:pt>
                <c:pt idx="1">
                  <c:v>1666</c:v>
                </c:pt>
                <c:pt idx="2">
                  <c:v>1666</c:v>
                </c:pt>
                <c:pt idx="3">
                  <c:v>1666</c:v>
                </c:pt>
                <c:pt idx="4">
                  <c:v>1666</c:v>
                </c:pt>
                <c:pt idx="5">
                  <c:v>1666</c:v>
                </c:pt>
                <c:pt idx="6">
                  <c:v>1848</c:v>
                </c:pt>
                <c:pt idx="7">
                  <c:v>1848</c:v>
                </c:pt>
                <c:pt idx="8">
                  <c:v>1848</c:v>
                </c:pt>
                <c:pt idx="9">
                  <c:v>1848</c:v>
                </c:pt>
                <c:pt idx="10">
                  <c:v>1848</c:v>
                </c:pt>
                <c:pt idx="11">
                  <c:v>1848</c:v>
                </c:pt>
                <c:pt idx="12">
                  <c:v>1848</c:v>
                </c:pt>
                <c:pt idx="13">
                  <c:v>1848</c:v>
                </c:pt>
                <c:pt idx="14">
                  <c:v>1848</c:v>
                </c:pt>
                <c:pt idx="15">
                  <c:v>1848</c:v>
                </c:pt>
                <c:pt idx="16">
                  <c:v>1848</c:v>
                </c:pt>
                <c:pt idx="17">
                  <c:v>2030</c:v>
                </c:pt>
                <c:pt idx="18">
                  <c:v>2030</c:v>
                </c:pt>
                <c:pt idx="19">
                  <c:v>2030</c:v>
                </c:pt>
                <c:pt idx="20">
                  <c:v>2030</c:v>
                </c:pt>
                <c:pt idx="21">
                  <c:v>2030</c:v>
                </c:pt>
                <c:pt idx="22">
                  <c:v>2030</c:v>
                </c:pt>
                <c:pt idx="23">
                  <c:v>2030</c:v>
                </c:pt>
                <c:pt idx="24">
                  <c:v>2030</c:v>
                </c:pt>
                <c:pt idx="25">
                  <c:v>2030</c:v>
                </c:pt>
                <c:pt idx="26">
                  <c:v>2030</c:v>
                </c:pt>
                <c:pt idx="27">
                  <c:v>2030</c:v>
                </c:pt>
                <c:pt idx="28">
                  <c:v>2212</c:v>
                </c:pt>
                <c:pt idx="29">
                  <c:v>2212</c:v>
                </c:pt>
                <c:pt idx="30">
                  <c:v>2212</c:v>
                </c:pt>
                <c:pt idx="31">
                  <c:v>2212</c:v>
                </c:pt>
                <c:pt idx="32">
                  <c:v>2212</c:v>
                </c:pt>
                <c:pt idx="33">
                  <c:v>2212</c:v>
                </c:pt>
                <c:pt idx="34">
                  <c:v>2212</c:v>
                </c:pt>
                <c:pt idx="35">
                  <c:v>2212</c:v>
                </c:pt>
                <c:pt idx="36">
                  <c:v>2212</c:v>
                </c:pt>
                <c:pt idx="37">
                  <c:v>2212</c:v>
                </c:pt>
                <c:pt idx="38">
                  <c:v>2212</c:v>
                </c:pt>
                <c:pt idx="39">
                  <c:v>2394</c:v>
                </c:pt>
                <c:pt idx="40">
                  <c:v>2394</c:v>
                </c:pt>
              </c:numCache>
            </c:numRef>
          </c:val>
          <c:smooth val="0"/>
          <c:extLst>
            <c:ext xmlns:c16="http://schemas.microsoft.com/office/drawing/2014/chart" uri="{C3380CC4-5D6E-409C-BE32-E72D297353CC}">
              <c16:uniqueId val="{00000001-4DEE-4FC1-81AD-0D56D2CA352C}"/>
            </c:ext>
          </c:extLst>
        </c:ser>
        <c:dLbls>
          <c:showLegendKey val="0"/>
          <c:showVal val="0"/>
          <c:showCatName val="0"/>
          <c:showSerName val="0"/>
          <c:showPercent val="0"/>
          <c:showBubbleSize val="0"/>
        </c:dLbls>
        <c:marker val="1"/>
        <c:smooth val="0"/>
        <c:axId val="1430857720"/>
        <c:axId val="1430858376"/>
      </c:lineChart>
      <c:catAx>
        <c:axId val="1430857720"/>
        <c:scaling>
          <c:orientation val="minMax"/>
        </c:scaling>
        <c:delete val="0"/>
        <c:axPos val="b"/>
        <c:title>
          <c:tx>
            <c:rich>
              <a:bodyPr/>
              <a:lstStyle/>
              <a:p>
                <a:pPr>
                  <a:defRPr/>
                </a:pPr>
                <a:r>
                  <a:rPr lang="en-US"/>
                  <a:t>Input ($C$59)</a:t>
                </a:r>
              </a:p>
            </c:rich>
          </c:tx>
          <c:overlay val="0"/>
        </c:title>
        <c:numFmt formatCode="General" sourceLinked="1"/>
        <c:majorTickMark val="out"/>
        <c:minorTickMark val="none"/>
        <c:tickLblPos val="nextTo"/>
        <c:crossAx val="1430858376"/>
        <c:crosses val="autoZero"/>
        <c:auto val="1"/>
        <c:lblAlgn val="ctr"/>
        <c:lblOffset val="100"/>
        <c:noMultiLvlLbl val="0"/>
      </c:catAx>
      <c:valAx>
        <c:axId val="1430858376"/>
        <c:scaling>
          <c:orientation val="minMax"/>
        </c:scaling>
        <c:delete val="0"/>
        <c:axPos val="l"/>
        <c:majorGridlines/>
        <c:numFmt formatCode="General" sourceLinked="1"/>
        <c:majorTickMark val="out"/>
        <c:minorTickMark val="none"/>
        <c:tickLblPos val="nextTo"/>
        <c:crossAx val="1430857720"/>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'Q5-two-way sensitvity'!$K$1</c:f>
          <c:strCache>
            <c:ptCount val="1"/>
            <c:pt idx="0">
              <c:v>Sensitivity of $C$62 to Input2</c:v>
            </c:pt>
          </c:strCache>
        </c:strRef>
      </c:tx>
      <c:overlay val="0"/>
      <c:txPr>
        <a:bodyPr/>
        <a:lstStyle/>
        <a:p>
          <a:pPr>
            <a:defRPr sz="1200"/>
          </a:pPr>
          <a:endParaRPr lang="en-US"/>
        </a:p>
      </c:txPr>
    </c:title>
    <c:autoTitleDeleted val="0"/>
    <c:plotArea>
      <c:layout/>
      <c:lineChart>
        <c:grouping val="standard"/>
        <c:varyColors val="0"/>
        <c:ser>
          <c:idx val="0"/>
          <c:order val="0"/>
          <c:cat>
            <c:numRef>
              <c:f>'Q5-two-way sensitvity'!$B$4:$G$4</c:f>
              <c:numCache>
                <c:formatCode>"$"#,##0_);[Red]\("$"#,##0\)</c:formatCode>
                <c:ptCount val="6"/>
                <c:pt idx="0">
                  <c:v>30</c:v>
                </c:pt>
                <c:pt idx="1">
                  <c:v>32</c:v>
                </c:pt>
                <c:pt idx="2">
                  <c:v>34</c:v>
                </c:pt>
                <c:pt idx="3">
                  <c:v>36</c:v>
                </c:pt>
                <c:pt idx="4">
                  <c:v>38</c:v>
                </c:pt>
                <c:pt idx="5">
                  <c:v>40</c:v>
                </c:pt>
              </c:numCache>
            </c:numRef>
          </c:cat>
          <c:val>
            <c:numRef>
              <c:f>'Q5-two-way sensitvity'!$K$5:$K$10</c:f>
              <c:numCache>
                <c:formatCode>General</c:formatCode>
                <c:ptCount val="6"/>
                <c:pt idx="0">
                  <c:v>0</c:v>
                </c:pt>
                <c:pt idx="1">
                  <c:v>2</c:v>
                </c:pt>
                <c:pt idx="2">
                  <c:v>2</c:v>
                </c:pt>
                <c:pt idx="3">
                  <c:v>2</c:v>
                </c:pt>
                <c:pt idx="4">
                  <c:v>2</c:v>
                </c:pt>
                <c:pt idx="5">
                  <c:v>2</c:v>
                </c:pt>
              </c:numCache>
            </c:numRef>
          </c:val>
          <c:smooth val="0"/>
          <c:extLst>
            <c:ext xmlns:c16="http://schemas.microsoft.com/office/drawing/2014/chart" uri="{C3380CC4-5D6E-409C-BE32-E72D297353CC}">
              <c16:uniqueId val="{00000001-C5B4-4EC9-92E6-F35CEBCF9516}"/>
            </c:ext>
          </c:extLst>
        </c:ser>
        <c:dLbls>
          <c:showLegendKey val="0"/>
          <c:showVal val="0"/>
          <c:showCatName val="0"/>
          <c:showSerName val="0"/>
          <c:showPercent val="0"/>
          <c:showBubbleSize val="0"/>
        </c:dLbls>
        <c:marker val="1"/>
        <c:smooth val="0"/>
        <c:axId val="1115512976"/>
        <c:axId val="1115513632"/>
      </c:lineChart>
      <c:catAx>
        <c:axId val="1115512976"/>
        <c:scaling>
          <c:orientation val="minMax"/>
        </c:scaling>
        <c:delete val="0"/>
        <c:axPos val="b"/>
        <c:title>
          <c:tx>
            <c:rich>
              <a:bodyPr/>
              <a:lstStyle/>
              <a:p>
                <a:pPr>
                  <a:defRPr/>
                </a:pPr>
                <a:r>
                  <a:rPr lang="en-US"/>
                  <a:t>Input2 ($C$59)</a:t>
                </a:r>
              </a:p>
            </c:rich>
          </c:tx>
          <c:overlay val="0"/>
        </c:title>
        <c:numFmt formatCode="&quot;$&quot;#,##0_);[Red]\(&quot;$&quot;#,##0\)" sourceLinked="1"/>
        <c:majorTickMark val="out"/>
        <c:minorTickMark val="none"/>
        <c:tickLblPos val="nextTo"/>
        <c:crossAx val="1115513632"/>
        <c:crosses val="autoZero"/>
        <c:auto val="1"/>
        <c:lblAlgn val="ctr"/>
        <c:lblOffset val="100"/>
        <c:noMultiLvlLbl val="0"/>
      </c:catAx>
      <c:valAx>
        <c:axId val="1115513632"/>
        <c:scaling>
          <c:orientation val="minMax"/>
        </c:scaling>
        <c:delete val="0"/>
        <c:axPos val="l"/>
        <c:majorGridlines/>
        <c:numFmt formatCode="General" sourceLinked="1"/>
        <c:majorTickMark val="out"/>
        <c:minorTickMark val="none"/>
        <c:tickLblPos val="nextTo"/>
        <c:crossAx val="111551297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'Q5-two-way sensitvity'!$O$1</c:f>
          <c:strCache>
            <c:ptCount val="1"/>
            <c:pt idx="0">
              <c:v>Sensitivity of $C$61 to Input1</c:v>
            </c:pt>
          </c:strCache>
        </c:strRef>
      </c:tx>
      <c:layout>
        <c:manualLayout>
          <c:xMode val="edge"/>
          <c:yMode val="edge"/>
          <c:x val="0.15718164539777355"/>
          <c:y val="0"/>
        </c:manualLayout>
      </c:layout>
      <c:overlay val="0"/>
      <c:txPr>
        <a:bodyPr/>
        <a:lstStyle/>
        <a:p>
          <a:pPr>
            <a:defRPr sz="1200"/>
          </a:pPr>
          <a:endParaRPr lang="en-US"/>
        </a:p>
      </c:txPr>
    </c:title>
    <c:autoTitleDeleted val="0"/>
    <c:plotArea>
      <c:layout/>
      <c:lineChart>
        <c:grouping val="standard"/>
        <c:varyColors val="0"/>
        <c:ser>
          <c:idx val="0"/>
          <c:order val="0"/>
          <c:cat>
            <c:numRef>
              <c:f>'Q5-two-way sensitvity'!$A$5:$A$27</c:f>
              <c:numCache>
                <c:formatCode>"$"#,##0_);[Red]\("$"#,##0\)</c:formatCode>
                <c:ptCount val="23"/>
                <c:pt idx="0">
                  <c:v>15</c:v>
                </c:pt>
                <c:pt idx="1">
                  <c:v>17</c:v>
                </c:pt>
                <c:pt idx="2">
                  <c:v>19</c:v>
                </c:pt>
                <c:pt idx="3">
                  <c:v>21</c:v>
                </c:pt>
                <c:pt idx="4">
                  <c:v>23</c:v>
                </c:pt>
                <c:pt idx="5">
                  <c:v>25</c:v>
                </c:pt>
                <c:pt idx="6">
                  <c:v>27</c:v>
                </c:pt>
                <c:pt idx="7">
                  <c:v>29</c:v>
                </c:pt>
                <c:pt idx="8">
                  <c:v>31</c:v>
                </c:pt>
                <c:pt idx="9">
                  <c:v>33</c:v>
                </c:pt>
                <c:pt idx="10">
                  <c:v>35</c:v>
                </c:pt>
                <c:pt idx="11">
                  <c:v>37</c:v>
                </c:pt>
                <c:pt idx="12">
                  <c:v>39</c:v>
                </c:pt>
                <c:pt idx="13">
                  <c:v>41</c:v>
                </c:pt>
                <c:pt idx="14">
                  <c:v>43</c:v>
                </c:pt>
                <c:pt idx="15">
                  <c:v>45</c:v>
                </c:pt>
                <c:pt idx="16">
                  <c:v>47</c:v>
                </c:pt>
                <c:pt idx="17">
                  <c:v>49</c:v>
                </c:pt>
                <c:pt idx="18">
                  <c:v>51</c:v>
                </c:pt>
                <c:pt idx="19">
                  <c:v>53</c:v>
                </c:pt>
                <c:pt idx="20">
                  <c:v>55</c:v>
                </c:pt>
                <c:pt idx="21">
                  <c:v>57</c:v>
                </c:pt>
                <c:pt idx="22">
                  <c:v>59</c:v>
                </c:pt>
              </c:numCache>
            </c:numRef>
          </c:cat>
          <c:val>
            <c:numRef>
              <c:f>'Q5-two-way sensitvity'!$O$5:$O$27</c:f>
              <c:numCache>
                <c:formatCode>General</c:formatCode>
                <c:ptCount val="23"/>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9</c:v>
                </c:pt>
                <c:pt idx="20">
                  <c:v>9</c:v>
                </c:pt>
                <c:pt idx="21">
                  <c:v>9</c:v>
                </c:pt>
                <c:pt idx="22">
                  <c:v>9</c:v>
                </c:pt>
              </c:numCache>
            </c:numRef>
          </c:val>
          <c:smooth val="0"/>
          <c:extLst>
            <c:ext xmlns:c16="http://schemas.microsoft.com/office/drawing/2014/chart" uri="{C3380CC4-5D6E-409C-BE32-E72D297353CC}">
              <c16:uniqueId val="{00000001-4D19-4059-AA48-D45881E95DAB}"/>
            </c:ext>
          </c:extLst>
        </c:ser>
        <c:dLbls>
          <c:showLegendKey val="0"/>
          <c:showVal val="0"/>
          <c:showCatName val="0"/>
          <c:showSerName val="0"/>
          <c:showPercent val="0"/>
          <c:showBubbleSize val="0"/>
        </c:dLbls>
        <c:marker val="1"/>
        <c:smooth val="0"/>
        <c:axId val="1115488376"/>
        <c:axId val="1115498216"/>
      </c:lineChart>
      <c:catAx>
        <c:axId val="1115488376"/>
        <c:scaling>
          <c:orientation val="minMax"/>
        </c:scaling>
        <c:delete val="0"/>
        <c:axPos val="b"/>
        <c:title>
          <c:tx>
            <c:rich>
              <a:bodyPr/>
              <a:lstStyle/>
              <a:p>
                <a:pPr>
                  <a:defRPr/>
                </a:pPr>
                <a:r>
                  <a:rPr lang="en-US"/>
                  <a:t>Input1 ($C$58)</a:t>
                </a:r>
              </a:p>
            </c:rich>
          </c:tx>
          <c:overlay val="0"/>
        </c:title>
        <c:numFmt formatCode="&quot;$&quot;#,##0_);[Red]\(&quot;$&quot;#,##0\)" sourceLinked="1"/>
        <c:majorTickMark val="out"/>
        <c:minorTickMark val="none"/>
        <c:tickLblPos val="nextTo"/>
        <c:crossAx val="1115498216"/>
        <c:crosses val="autoZero"/>
        <c:auto val="1"/>
        <c:lblAlgn val="ctr"/>
        <c:lblOffset val="100"/>
        <c:noMultiLvlLbl val="0"/>
      </c:catAx>
      <c:valAx>
        <c:axId val="1115498216"/>
        <c:scaling>
          <c:orientation val="minMax"/>
        </c:scaling>
        <c:delete val="0"/>
        <c:axPos val="l"/>
        <c:majorGridlines/>
        <c:numFmt formatCode="General" sourceLinked="1"/>
        <c:majorTickMark val="out"/>
        <c:minorTickMark val="none"/>
        <c:tickLblPos val="nextTo"/>
        <c:crossAx val="111548837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165100</xdr:colOff>
      <xdr:row>17</xdr:row>
      <xdr:rowOff>165100</xdr:rowOff>
    </xdr:from>
    <xdr:to>
      <xdr:col>15</xdr:col>
      <xdr:colOff>355600</xdr:colOff>
      <xdr:row>24</xdr:row>
      <xdr:rowOff>139700</xdr:rowOff>
    </xdr:to>
    <xdr:sp macro="" textlink="">
      <xdr:nvSpPr>
        <xdr:cNvPr id="10" name="Rectangle 9">
          <a:extLst>
            <a:ext uri="{FF2B5EF4-FFF2-40B4-BE49-F238E27FC236}">
              <a16:creationId xmlns:a16="http://schemas.microsoft.com/office/drawing/2014/main" id="{D4CD4887-706A-AC49-96AC-EB91373C89C9}"/>
            </a:ext>
          </a:extLst>
        </xdr:cNvPr>
        <xdr:cNvSpPr/>
      </xdr:nvSpPr>
      <xdr:spPr>
        <a:xfrm>
          <a:off x="6502400" y="3784600"/>
          <a:ext cx="7264400" cy="1460500"/>
        </a:xfrm>
        <a:prstGeom prst="rect">
          <a:avLst/>
        </a:prstGeom>
        <a:solidFill>
          <a:schemeClr val="accent4">
            <a:lumMod val="20000"/>
            <a:lumOff val="80000"/>
            <a:alpha val="41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u="sng">
              <a:solidFill>
                <a:schemeClr val="tx1"/>
              </a:solidFill>
            </a:rPr>
            <a:t>Objective function:</a:t>
          </a:r>
        </a:p>
        <a:p>
          <a:pPr algn="l"/>
          <a:r>
            <a:rPr lang="en-US" sz="1200" b="0" i="0" u="none" strike="noStrike">
              <a:solidFill>
                <a:schemeClr val="tx1"/>
              </a:solidFill>
              <a:effectLst/>
              <a:latin typeface="+mn-lt"/>
              <a:ea typeface="+mn-ea"/>
              <a:cs typeface="+mn-cs"/>
            </a:rPr>
            <a:t>Minimize the total daily cost of running the Dublin branch of ACE Bank</a:t>
          </a:r>
          <a:r>
            <a:rPr lang="en-US" sz="1200">
              <a:solidFill>
                <a:schemeClr val="tx1"/>
              </a:solidFill>
            </a:rPr>
            <a:t> </a:t>
          </a:r>
        </a:p>
        <a:p>
          <a:pPr algn="l"/>
          <a:r>
            <a:rPr lang="en-US" sz="1200" b="1" i="1" u="none" strike="noStrike">
              <a:solidFill>
                <a:schemeClr val="tx1"/>
              </a:solidFill>
              <a:effectLst/>
              <a:latin typeface="+mn-lt"/>
              <a:ea typeface="+mn-ea"/>
              <a:cs typeface="+mn-cs"/>
            </a:rPr>
            <a:t>Hourly</a:t>
          </a:r>
          <a:r>
            <a:rPr lang="en-US" sz="1200" b="1" i="1" u="none" strike="noStrike" baseline="0">
              <a:solidFill>
                <a:schemeClr val="tx1"/>
              </a:solidFill>
              <a:effectLst/>
              <a:latin typeface="+mn-lt"/>
              <a:ea typeface="+mn-ea"/>
              <a:cs typeface="+mn-cs"/>
            </a:rPr>
            <a:t> cost for the employees</a:t>
          </a:r>
          <a:r>
            <a:rPr lang="en-US" sz="1200" b="1" i="1" u="none" strike="noStrike">
              <a:solidFill>
                <a:schemeClr val="tx1"/>
              </a:solidFill>
              <a:effectLst/>
              <a:latin typeface="+mn-lt"/>
              <a:ea typeface="+mn-ea"/>
              <a:cs typeface="+mn-cs"/>
            </a:rPr>
            <a:t>:</a:t>
          </a:r>
          <a:r>
            <a:rPr lang="en-US" sz="1200">
              <a:solidFill>
                <a:schemeClr val="tx1"/>
              </a:solidFill>
            </a:rPr>
            <a:t> </a:t>
          </a:r>
        </a:p>
        <a:p>
          <a:pPr algn="l"/>
          <a:r>
            <a:rPr lang="en-US" sz="1200" b="0" i="0" u="none" strike="noStrike">
              <a:solidFill>
                <a:schemeClr val="tx1"/>
              </a:solidFill>
              <a:effectLst/>
              <a:latin typeface="+mn-lt"/>
              <a:ea typeface="+mn-ea"/>
              <a:cs typeface="+mn-cs"/>
            </a:rPr>
            <a:t>Cost of employing one </a:t>
          </a:r>
          <a:r>
            <a:rPr lang="en-US" sz="1200" b="0" i="0" u="sng" strike="noStrike">
              <a:solidFill>
                <a:schemeClr val="tx1"/>
              </a:solidFill>
              <a:effectLst/>
              <a:latin typeface="+mn-lt"/>
              <a:ea typeface="+mn-ea"/>
              <a:cs typeface="+mn-cs"/>
            </a:rPr>
            <a:t>full-time employee</a:t>
          </a:r>
          <a:r>
            <a:rPr lang="en-US" sz="1200" b="0" i="0" u="none" strike="noStrike">
              <a:solidFill>
                <a:schemeClr val="tx1"/>
              </a:solidFill>
              <a:effectLst/>
              <a:latin typeface="+mn-lt"/>
              <a:ea typeface="+mn-ea"/>
              <a:cs typeface="+mn-cs"/>
            </a:rPr>
            <a:t> per day </a:t>
          </a:r>
          <a:r>
            <a:rPr lang="en-US" sz="1200">
              <a:solidFill>
                <a:schemeClr val="tx1"/>
              </a:solidFill>
            </a:rPr>
            <a:t> </a:t>
          </a:r>
          <a:r>
            <a:rPr lang="en-US" sz="1200" b="0" i="0" u="none" strike="noStrike">
              <a:solidFill>
                <a:schemeClr val="tx1"/>
              </a:solidFill>
              <a:effectLst/>
              <a:latin typeface="+mn-lt"/>
              <a:ea typeface="+mn-ea"/>
              <a:cs typeface="+mn-cs"/>
            </a:rPr>
            <a:t>(7 hours * $38 per hour )</a:t>
          </a:r>
          <a:r>
            <a:rPr lang="en-US" sz="1200">
              <a:solidFill>
                <a:schemeClr val="tx1"/>
              </a:solidFill>
            </a:rPr>
            <a:t> =</a:t>
          </a:r>
          <a:r>
            <a:rPr lang="en-US" sz="1200" b="0" i="0" u="none" strike="noStrike">
              <a:solidFill>
                <a:schemeClr val="tx1"/>
              </a:solidFill>
              <a:effectLst/>
              <a:latin typeface="+mn-lt"/>
              <a:ea typeface="+mn-ea"/>
              <a:cs typeface="+mn-cs"/>
            </a:rPr>
            <a:t> </a:t>
          </a:r>
          <a:r>
            <a:rPr lang="en-US" sz="1200" b="1" i="0" u="none" strike="noStrike">
              <a:solidFill>
                <a:schemeClr val="tx1"/>
              </a:solidFill>
              <a:effectLst/>
              <a:latin typeface="+mn-lt"/>
              <a:ea typeface="+mn-ea"/>
              <a:cs typeface="+mn-cs"/>
            </a:rPr>
            <a:t>$  266.00</a:t>
          </a:r>
        </a:p>
        <a:p>
          <a:pPr algn="l"/>
          <a:r>
            <a:rPr lang="en-US" sz="1200" b="0" i="0" u="none" strike="noStrike">
              <a:solidFill>
                <a:schemeClr val="tx1"/>
              </a:solidFill>
              <a:effectLst/>
              <a:latin typeface="+mn-lt"/>
              <a:ea typeface="+mn-ea"/>
              <a:cs typeface="+mn-cs"/>
            </a:rPr>
            <a:t>Cost of employing one </a:t>
          </a:r>
          <a:r>
            <a:rPr lang="en-US" sz="1200" b="0" i="0" u="sng" strike="noStrike">
              <a:solidFill>
                <a:schemeClr val="tx1"/>
              </a:solidFill>
              <a:effectLst/>
              <a:latin typeface="+mn-lt"/>
              <a:ea typeface="+mn-ea"/>
              <a:cs typeface="+mn-cs"/>
            </a:rPr>
            <a:t>part-time employee</a:t>
          </a:r>
          <a:r>
            <a:rPr lang="en-US" sz="1200" b="0" i="0" u="none" strike="noStrike">
              <a:solidFill>
                <a:schemeClr val="tx1"/>
              </a:solidFill>
              <a:effectLst/>
              <a:latin typeface="+mn-lt"/>
              <a:ea typeface="+mn-ea"/>
              <a:cs typeface="+mn-cs"/>
            </a:rPr>
            <a:t> per day</a:t>
          </a:r>
          <a:r>
            <a:rPr lang="en-US" sz="1200">
              <a:solidFill>
                <a:schemeClr val="tx1"/>
              </a:solidFill>
            </a:rPr>
            <a:t> </a:t>
          </a:r>
          <a:r>
            <a:rPr lang="en-US" sz="1200" b="0" i="0" u="none" strike="noStrike">
              <a:solidFill>
                <a:schemeClr val="tx1"/>
              </a:solidFill>
              <a:effectLst/>
              <a:latin typeface="+mn-lt"/>
              <a:ea typeface="+mn-ea"/>
              <a:cs typeface="+mn-cs"/>
            </a:rPr>
            <a:t>(4 hours * $21 per hour)</a:t>
          </a:r>
          <a:r>
            <a:rPr lang="en-US" sz="1200">
              <a:solidFill>
                <a:schemeClr val="tx1"/>
              </a:solidFill>
            </a:rPr>
            <a:t> =</a:t>
          </a:r>
          <a:r>
            <a:rPr lang="en-US" sz="1200" b="0" i="0" u="none" strike="noStrike">
              <a:solidFill>
                <a:schemeClr val="tx1"/>
              </a:solidFill>
              <a:effectLst/>
              <a:latin typeface="+mn-lt"/>
              <a:ea typeface="+mn-ea"/>
              <a:cs typeface="+mn-cs"/>
            </a:rPr>
            <a:t> </a:t>
          </a:r>
          <a:r>
            <a:rPr lang="en-US" sz="1200" b="1" i="0" u="none" strike="noStrike">
              <a:solidFill>
                <a:schemeClr val="tx1"/>
              </a:solidFill>
              <a:effectLst/>
              <a:latin typeface="+mn-lt"/>
              <a:ea typeface="+mn-ea"/>
              <a:cs typeface="+mn-cs"/>
            </a:rPr>
            <a:t>$ 84.00</a:t>
          </a:r>
          <a:r>
            <a:rPr lang="en-US" sz="1200" b="0" i="0" u="none" strike="noStrike">
              <a:solidFill>
                <a:schemeClr val="tx1"/>
              </a:solidFill>
              <a:effectLst/>
              <a:latin typeface="+mn-lt"/>
              <a:ea typeface="+mn-ea"/>
              <a:cs typeface="+mn-cs"/>
            </a:rPr>
            <a:t> </a:t>
          </a:r>
        </a:p>
        <a:p>
          <a:pPr algn="l"/>
          <a:r>
            <a:rPr lang="en-US" sz="1200" b="0" i="0" u="none" strike="noStrike">
              <a:solidFill>
                <a:schemeClr val="tx1"/>
              </a:solidFill>
              <a:effectLst/>
              <a:latin typeface="+mn-lt"/>
              <a:ea typeface="+mn-ea"/>
              <a:cs typeface="+mn-cs"/>
            </a:rPr>
            <a:t>Mathematically the objective function is the</a:t>
          </a:r>
          <a:r>
            <a:rPr lang="en-US" sz="1200" b="0" i="0" u="none" strike="noStrike" baseline="0">
              <a:solidFill>
                <a:schemeClr val="tx1"/>
              </a:solidFill>
              <a:effectLst/>
              <a:latin typeface="+mn-lt"/>
              <a:ea typeface="+mn-ea"/>
              <a:cs typeface="+mn-cs"/>
            </a:rPr>
            <a:t> sum-product of the number of full-time and part-time tellers at a given time interval and their corresponding hourly cost.</a:t>
          </a:r>
          <a:endParaRPr lang="en-US" sz="1200" b="1" u="sng">
            <a:solidFill>
              <a:schemeClr val="tx1"/>
            </a:solidFill>
          </a:endParaRPr>
        </a:p>
      </xdr:txBody>
    </xdr:sp>
    <xdr:clientData/>
  </xdr:twoCellAnchor>
  <xdr:twoCellAnchor>
    <xdr:from>
      <xdr:col>8</xdr:col>
      <xdr:colOff>279400</xdr:colOff>
      <xdr:row>25</xdr:row>
      <xdr:rowOff>63500</xdr:rowOff>
    </xdr:from>
    <xdr:to>
      <xdr:col>13</xdr:col>
      <xdr:colOff>508000</xdr:colOff>
      <xdr:row>30</xdr:row>
      <xdr:rowOff>127000</xdr:rowOff>
    </xdr:to>
    <xdr:sp macro="" textlink="">
      <xdr:nvSpPr>
        <xdr:cNvPr id="11" name="Rectangle 10">
          <a:extLst>
            <a:ext uri="{FF2B5EF4-FFF2-40B4-BE49-F238E27FC236}">
              <a16:creationId xmlns:a16="http://schemas.microsoft.com/office/drawing/2014/main" id="{6FA3D26B-976A-A347-A6A3-13C4A3EEBC0C}"/>
            </a:ext>
          </a:extLst>
        </xdr:cNvPr>
        <xdr:cNvSpPr/>
      </xdr:nvSpPr>
      <xdr:spPr>
        <a:xfrm>
          <a:off x="8267700" y="5422900"/>
          <a:ext cx="4356100" cy="1092200"/>
        </a:xfrm>
        <a:prstGeom prst="rect">
          <a:avLst/>
        </a:prstGeom>
        <a:solidFill>
          <a:schemeClr val="accent2">
            <a:lumMod val="20000"/>
            <a:lumOff val="80000"/>
            <a:alpha val="41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a:solidFill>
                <a:sysClr val="windowText" lastClr="000000"/>
              </a:solidFill>
            </a:rPr>
            <a:t>Constraints:</a:t>
          </a:r>
        </a:p>
        <a:p>
          <a:pPr algn="l"/>
          <a:endParaRPr lang="en-US" sz="1100" b="1" u="sng">
            <a:solidFill>
              <a:sysClr val="windowText" lastClr="000000"/>
            </a:solidFill>
          </a:endParaRPr>
        </a:p>
        <a:p>
          <a:pPr algn="l"/>
          <a:r>
            <a:rPr lang="en-US" sz="1100" b="0" u="none">
              <a:solidFill>
                <a:sysClr val="windowText" lastClr="000000"/>
              </a:solidFill>
            </a:rPr>
            <a:t>The</a:t>
          </a:r>
          <a:r>
            <a:rPr lang="en-US" sz="1100" b="0" u="none" baseline="0">
              <a:solidFill>
                <a:sysClr val="windowText" lastClr="000000"/>
              </a:solidFill>
            </a:rPr>
            <a:t> constraints are framed based on the working hours of the bank and the number of tellers necessary to provide adequate customer service during each hour of their day.</a:t>
          </a:r>
          <a:endParaRPr lang="en-US" sz="1100" b="0" u="none">
            <a:solidFill>
              <a:sysClr val="windowText" lastClr="000000"/>
            </a:solidFill>
          </a:endParaRPr>
        </a:p>
      </xdr:txBody>
    </xdr:sp>
    <xdr:clientData/>
  </xdr:twoCellAnchor>
  <xdr:twoCellAnchor>
    <xdr:from>
      <xdr:col>18</xdr:col>
      <xdr:colOff>25400</xdr:colOff>
      <xdr:row>3</xdr:row>
      <xdr:rowOff>38100</xdr:rowOff>
    </xdr:from>
    <xdr:to>
      <xdr:col>25</xdr:col>
      <xdr:colOff>50800</xdr:colOff>
      <xdr:row>15</xdr:row>
      <xdr:rowOff>190500</xdr:rowOff>
    </xdr:to>
    <xdr:sp macro="" textlink="">
      <xdr:nvSpPr>
        <xdr:cNvPr id="12" name="Rectangle 11">
          <a:extLst>
            <a:ext uri="{FF2B5EF4-FFF2-40B4-BE49-F238E27FC236}">
              <a16:creationId xmlns:a16="http://schemas.microsoft.com/office/drawing/2014/main" id="{BA15FCAB-4B93-6E4A-B0A6-090BE07D8E17}"/>
            </a:ext>
          </a:extLst>
        </xdr:cNvPr>
        <xdr:cNvSpPr/>
      </xdr:nvSpPr>
      <xdr:spPr>
        <a:xfrm>
          <a:off x="15367000" y="685800"/>
          <a:ext cx="5803900" cy="2705100"/>
        </a:xfrm>
        <a:prstGeom prst="rect">
          <a:avLst/>
        </a:prstGeom>
        <a:solidFill>
          <a:schemeClr val="accent1">
            <a:lumMod val="20000"/>
            <a:lumOff val="80000"/>
            <a:alpha val="41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a:solidFill>
                <a:schemeClr val="tx1"/>
              </a:solidFill>
            </a:rPr>
            <a:t>Decision</a:t>
          </a:r>
          <a:r>
            <a:rPr lang="en-US" sz="1100" b="1" u="sng" baseline="0">
              <a:solidFill>
                <a:schemeClr val="tx1"/>
              </a:solidFill>
            </a:rPr>
            <a:t> variables:</a:t>
          </a:r>
        </a:p>
        <a:p>
          <a:pPr algn="l"/>
          <a:r>
            <a:rPr lang="en-US" sz="1100" b="0" u="none" baseline="0">
              <a:solidFill>
                <a:schemeClr val="tx1"/>
              </a:solidFill>
            </a:rPr>
            <a:t>We have a total of 10 decision variables for this optimization model. The decision variables are framed based on the scheduling chart.</a:t>
          </a:r>
        </a:p>
        <a:p>
          <a:pPr algn="l"/>
          <a:endParaRPr lang="en-US" sz="1100" b="0" u="none" baseline="0">
            <a:solidFill>
              <a:schemeClr val="tx1"/>
            </a:solidFill>
          </a:endParaRPr>
        </a:p>
        <a:p>
          <a:pPr algn="l"/>
          <a:r>
            <a:rPr lang="en-US" sz="1100" b="0" u="none" baseline="0">
              <a:solidFill>
                <a:schemeClr val="tx1"/>
              </a:solidFill>
            </a:rPr>
            <a:t>1.Full-time employees start by the hour, work for 4 hours and take an hour of un-paid break. They resume their shift afterwards and work for a period of 3 hours.</a:t>
          </a:r>
        </a:p>
        <a:p>
          <a:pPr algn="l"/>
          <a:endParaRPr lang="en-US" sz="1100" b="0" u="none" baseline="0">
            <a:solidFill>
              <a:schemeClr val="tx1"/>
            </a:solidFill>
          </a:endParaRPr>
        </a:p>
        <a:p>
          <a:pPr algn="l"/>
          <a:r>
            <a:rPr lang="en-US" sz="1100" b="0" u="none" baseline="0">
              <a:solidFill>
                <a:schemeClr val="tx1"/>
              </a:solidFill>
            </a:rPr>
            <a:t>2.Based on this information, a full-time employee cannot start a shift for the day at or after 12 noon. If they do they cannot complete their 7 hour work day + 1 hour of unpaid break.</a:t>
          </a:r>
        </a:p>
        <a:p>
          <a:pPr algn="l"/>
          <a:endParaRPr lang="en-US" sz="1100" b="0" u="none" baseline="0">
            <a:solidFill>
              <a:schemeClr val="tx1"/>
            </a:solidFill>
          </a:endParaRPr>
        </a:p>
        <a:p>
          <a:pPr algn="l"/>
          <a:r>
            <a:rPr lang="en-US" sz="1100" b="0" u="none" baseline="0">
              <a:solidFill>
                <a:schemeClr val="tx1"/>
              </a:solidFill>
            </a:rPr>
            <a:t>3.Part-time employees start by the hour and work straight for 4 hours and close their shift for the day. They do not have a break hour. </a:t>
          </a:r>
        </a:p>
        <a:p>
          <a:pPr algn="l"/>
          <a:endParaRPr lang="en-US" sz="1100" b="0" u="none" baseline="0">
            <a:solidFill>
              <a:schemeClr val="tx1"/>
            </a:solidFill>
          </a:endParaRPr>
        </a:p>
        <a:p>
          <a:pPr algn="l"/>
          <a:r>
            <a:rPr lang="en-US" sz="1100" b="0" u="none" baseline="0">
              <a:solidFill>
                <a:schemeClr val="tx1"/>
              </a:solidFill>
            </a:rPr>
            <a:t>4.Based on this information, a part-time employee cannot start work on or after 4pm. If they do, they cannot complete their 4 hour work shift.</a:t>
          </a:r>
        </a:p>
      </xdr:txBody>
    </xdr:sp>
    <xdr:clientData/>
  </xdr:twoCellAnchor>
  <xdr:twoCellAnchor editAs="oneCell">
    <xdr:from>
      <xdr:col>1</xdr:col>
      <xdr:colOff>2009</xdr:colOff>
      <xdr:row>39</xdr:row>
      <xdr:rowOff>101600</xdr:rowOff>
    </xdr:from>
    <xdr:to>
      <xdr:col>5</xdr:col>
      <xdr:colOff>1104901</xdr:colOff>
      <xdr:row>63</xdr:row>
      <xdr:rowOff>153387</xdr:rowOff>
    </xdr:to>
    <xdr:pic>
      <xdr:nvPicPr>
        <xdr:cNvPr id="4" name="Picture 3">
          <a:extLst>
            <a:ext uri="{FF2B5EF4-FFF2-40B4-BE49-F238E27FC236}">
              <a16:creationId xmlns:a16="http://schemas.microsoft.com/office/drawing/2014/main" id="{8FE1B464-CC25-3A4A-BA04-9F8562831B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0209" y="8369300"/>
          <a:ext cx="4341392" cy="4928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830383</xdr:colOff>
      <xdr:row>32</xdr:row>
      <xdr:rowOff>12700</xdr:rowOff>
    </xdr:from>
    <xdr:to>
      <xdr:col>16</xdr:col>
      <xdr:colOff>29307</xdr:colOff>
      <xdr:row>59</xdr:row>
      <xdr:rowOff>9769</xdr:rowOff>
    </xdr:to>
    <xdr:sp macro="" textlink="">
      <xdr:nvSpPr>
        <xdr:cNvPr id="5" name="TextBox 4">
          <a:extLst>
            <a:ext uri="{FF2B5EF4-FFF2-40B4-BE49-F238E27FC236}">
              <a16:creationId xmlns:a16="http://schemas.microsoft.com/office/drawing/2014/main" id="{4A31B815-917E-0245-92BE-4D00B1DA2CFA}"/>
            </a:ext>
          </a:extLst>
        </xdr:cNvPr>
        <xdr:cNvSpPr txBox="1"/>
      </xdr:nvSpPr>
      <xdr:spPr>
        <a:xfrm>
          <a:off x="7668845" y="7271238"/>
          <a:ext cx="7766539" cy="5555762"/>
        </a:xfrm>
        <a:prstGeom prst="rect">
          <a:avLst/>
        </a:prstGeom>
        <a:solidFill>
          <a:schemeClr val="bg2">
            <a:lumMod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Clr>
              <a:schemeClr val="tx1"/>
            </a:buClr>
            <a:buFontTx/>
            <a:buNone/>
          </a:pPr>
          <a:r>
            <a:rPr lang="en-US" sz="1100" u="sng" baseline="0"/>
            <a:t>Objective function:</a:t>
          </a:r>
        </a:p>
        <a:p>
          <a:pPr marL="0" indent="0">
            <a:buClr>
              <a:schemeClr val="tx1"/>
            </a:buClr>
            <a:buFontTx/>
            <a:buNone/>
          </a:pPr>
          <a:r>
            <a:rPr lang="en-US" sz="1100" u="none" baseline="0"/>
            <a:t>With the optimal schedule based on the model with the given constraints (only) on the number of tellers for each hour of the working day, the minimal cost to run the branch comes to $1008.</a:t>
          </a:r>
        </a:p>
        <a:p>
          <a:pPr marL="0" indent="0">
            <a:buClr>
              <a:schemeClr val="tx1"/>
            </a:buClr>
            <a:buFontTx/>
            <a:buNone/>
          </a:pPr>
          <a:r>
            <a:rPr lang="en-US" sz="1100" u="sng" baseline="0"/>
            <a:t>Constraints:</a:t>
          </a:r>
          <a:endParaRPr lang="en-US" sz="1100" u="none" baseline="0"/>
        </a:p>
        <a:p>
          <a:pPr marL="0" indent="0">
            <a:buClr>
              <a:schemeClr val="tx1"/>
            </a:buClr>
            <a:buFontTx/>
            <a:buNone/>
          </a:pPr>
          <a:r>
            <a:rPr lang="en-US" sz="1100" u="none" baseline="0"/>
            <a:t>The constraints apply to the number of tellers to be present to help the customers during each hour of the working day.</a:t>
          </a:r>
        </a:p>
        <a:p>
          <a:pPr marL="0" indent="0">
            <a:buClr>
              <a:schemeClr val="tx1"/>
            </a:buClr>
            <a:buFontTx/>
            <a:buNone/>
          </a:pPr>
          <a:endParaRPr lang="en-US" sz="1100" u="none" baseline="0"/>
        </a:p>
        <a:p>
          <a:pPr marL="0" indent="0">
            <a:buClr>
              <a:schemeClr val="tx1"/>
            </a:buClr>
            <a:buFontTx/>
            <a:buNone/>
          </a:pPr>
          <a:r>
            <a:rPr lang="en-US" sz="1100" u="none" baseline="0"/>
            <a:t>The highest number of at least 5 tellers are expected to be present during the period between 12pm t0 2pm. This implies that this is the busiest working hour for the bank and maybe a mid-day break time for the customers to run their errands.</a:t>
          </a:r>
        </a:p>
        <a:p>
          <a:pPr marL="0" indent="0">
            <a:buClr>
              <a:schemeClr val="tx1"/>
            </a:buClr>
            <a:buFontTx/>
            <a:buNone/>
          </a:pPr>
          <a:endParaRPr lang="en-US" sz="1100" u="none" baseline="0"/>
        </a:p>
        <a:p>
          <a:pPr marL="0" indent="0">
            <a:buClr>
              <a:schemeClr val="tx1"/>
            </a:buClr>
            <a:buFontTx/>
            <a:buNone/>
          </a:pPr>
          <a:r>
            <a:rPr lang="en-US" sz="1100" u="none" baseline="0"/>
            <a:t>Apart from this time period, the opening hours and  the period between 3pm and 5pm look busy as at least 4 tellers are expected to be present.</a:t>
          </a:r>
        </a:p>
        <a:p>
          <a:pPr marL="0" indent="0">
            <a:buClr>
              <a:schemeClr val="tx1"/>
            </a:buClr>
            <a:buFontTx/>
            <a:buNone/>
          </a:pPr>
          <a:endParaRPr lang="en-US" sz="1100" u="none" baseline="0"/>
        </a:p>
        <a:p>
          <a:pPr marL="0" indent="0">
            <a:buClr>
              <a:schemeClr val="tx1"/>
            </a:buClr>
            <a:buFontTx/>
            <a:buNone/>
          </a:pPr>
          <a:r>
            <a:rPr lang="en-US" sz="1100" u="none" baseline="0"/>
            <a:t>Rest of the time periods between 11am and 12pm,2pm and 3pm and the closing hours are relatively lean as only 3(minimum) tellers are expected to be present.</a:t>
          </a:r>
        </a:p>
        <a:p>
          <a:pPr marL="0" indent="0">
            <a:buClr>
              <a:schemeClr val="tx1"/>
            </a:buClr>
            <a:buFontTx/>
            <a:buNone/>
          </a:pPr>
          <a:endParaRPr lang="en-US" sz="1100" u="none" baseline="0"/>
        </a:p>
        <a:p>
          <a:pPr marL="0" indent="0">
            <a:buClr>
              <a:schemeClr val="tx1"/>
            </a:buClr>
            <a:buFontTx/>
            <a:buNone/>
          </a:pPr>
          <a:r>
            <a:rPr lang="en-US" sz="1100" u="sng" baseline="0"/>
            <a:t>Optimal schedule:</a:t>
          </a:r>
        </a:p>
        <a:p>
          <a:pPr marL="0" indent="0">
            <a:buClr>
              <a:schemeClr val="tx1"/>
            </a:buClr>
            <a:buFontTx/>
            <a:buNone/>
          </a:pPr>
          <a:endParaRPr lang="en-US" sz="1100" u="none" baseline="0"/>
        </a:p>
        <a:p>
          <a:pPr marL="0" indent="0">
            <a:buClr>
              <a:schemeClr val="tx1"/>
            </a:buClr>
            <a:buFontTx/>
            <a:buNone/>
          </a:pPr>
          <a:r>
            <a:rPr lang="en-US" sz="1100" u="none" baseline="0"/>
            <a:t>The model does not recommend using any full-time employees to run the operations. Instead, the model uses part-time tellers to meet the customer service requirements. Specifically, the recommendation is to have 4 part-time tellers start at 9 AM and work until 1 PM, 2 tellers from 10 am to 2 pm, 2 more from 12 noon to 4 pm, 1 from 1 pm to 5 pm and 3 starting at 3 pm until end of business - 7 pm.</a:t>
          </a:r>
        </a:p>
        <a:p>
          <a:pPr marL="0" indent="0">
            <a:buClr>
              <a:schemeClr val="tx1"/>
            </a:buClr>
            <a:buFontTx/>
            <a:buNone/>
          </a:pPr>
          <a:endParaRPr lang="en-US" sz="1100" u="sng" baseline="0"/>
        </a:p>
        <a:p>
          <a:pPr marL="0" indent="0">
            <a:buClr>
              <a:schemeClr val="tx1"/>
            </a:buClr>
            <a:buFontTx/>
            <a:buNone/>
          </a:pPr>
          <a:r>
            <a:rPr lang="en-US" sz="1100" u="sng" baseline="0"/>
            <a:t>Comments on the solution:</a:t>
          </a:r>
        </a:p>
        <a:p>
          <a:pPr marL="0" indent="0">
            <a:buClr>
              <a:schemeClr val="tx1"/>
            </a:buClr>
            <a:buFontTx/>
            <a:buNone/>
          </a:pPr>
          <a:r>
            <a:rPr lang="en-US" sz="1100" u="none" baseline="0"/>
            <a:t>Since the constraints are only on the number of tellers to be present during the working hours and not on the part-time or full-time nature,</a:t>
          </a:r>
        </a:p>
        <a:p>
          <a:pPr marL="0" indent="0">
            <a:buClr>
              <a:schemeClr val="tx1"/>
            </a:buClr>
            <a:buFontTx/>
            <a:buNone/>
          </a:pPr>
          <a:r>
            <a:rPr lang="en-US" sz="1100" u="none" baseline="0"/>
            <a:t>The recommendation of the model is to go with all part-time employees because of the cheaper  hourly billing rate of $21.</a:t>
          </a:r>
        </a:p>
        <a:p>
          <a:pPr marL="0" indent="0">
            <a:buClr>
              <a:schemeClr val="tx1"/>
            </a:buClr>
            <a:buFontTx/>
            <a:buNone/>
          </a:pPr>
          <a:endParaRPr lang="en-US" sz="1100" u="none" baseline="0"/>
        </a:p>
        <a:p>
          <a:pPr marL="0" indent="0">
            <a:buClr>
              <a:schemeClr val="tx1"/>
            </a:buClr>
            <a:buFontTx/>
            <a:buNone/>
          </a:pPr>
          <a:r>
            <a:rPr lang="en-US" sz="1100" u="none" baseline="0"/>
            <a:t>Though this recommendation is the most optimal in terms of daily cost, in reality full-time employees are vital to the businness and to ensure adequate customer service in terms of continuity.</a:t>
          </a:r>
        </a:p>
        <a:p>
          <a:pPr marL="0" indent="0">
            <a:buClr>
              <a:schemeClr val="tx1"/>
            </a:buClr>
            <a:buFontTx/>
            <a:buNone/>
          </a:pPr>
          <a:endParaRPr lang="en-US" sz="1100" u="none" baseline="0"/>
        </a:p>
        <a:p>
          <a:pPr marL="0" indent="0">
            <a:buClr>
              <a:schemeClr val="tx1"/>
            </a:buClr>
            <a:buFontTx/>
            <a:buNone/>
          </a:pPr>
          <a:r>
            <a:rPr lang="en-US" sz="1100" u="none" baseline="0"/>
            <a:t>Hence additional constraints maybe necessary to ensure full-time employees are also present throughout the working day.</a:t>
          </a:r>
        </a:p>
        <a:p>
          <a:pPr marL="0" indent="0">
            <a:buClr>
              <a:schemeClr val="tx1"/>
            </a:buClr>
            <a:buFontTx/>
            <a:buNone/>
          </a:pPr>
          <a:endParaRPr lang="en-US" sz="1100" u="none" baseline="0"/>
        </a:p>
        <a:p>
          <a:pPr marL="0" indent="0">
            <a:buClr>
              <a:schemeClr val="tx1"/>
            </a:buClr>
            <a:buFontTx/>
            <a:buNone/>
          </a:pPr>
          <a:endParaRPr lang="en-US" sz="1100" u="none" baseline="0"/>
        </a:p>
        <a:p>
          <a:pPr marL="0" indent="0">
            <a:buClr>
              <a:schemeClr val="tx1"/>
            </a:buClr>
            <a:buFontTx/>
            <a:buNone/>
          </a:pPr>
          <a:endParaRPr lang="en-US" sz="1100" u="none" baseline="0"/>
        </a:p>
        <a:p>
          <a:pPr marL="0" indent="0">
            <a:buClr>
              <a:schemeClr val="tx1"/>
            </a:buClr>
            <a:buFontTx/>
            <a:buNone/>
          </a:pPr>
          <a:endParaRPr lang="en-US" sz="1100" u="none" baseline="0"/>
        </a:p>
        <a:p>
          <a:pPr marL="0" indent="0">
            <a:buClr>
              <a:schemeClr val="tx1"/>
            </a:buClr>
            <a:buFontTx/>
            <a:buNone/>
          </a:pPr>
          <a:endParaRPr lang="en-US" sz="1100" u="none" baseline="0"/>
        </a:p>
        <a:p>
          <a:pPr marL="0" indent="0">
            <a:buClr>
              <a:schemeClr val="tx1"/>
            </a:buClr>
            <a:buFontTx/>
            <a:buNone/>
          </a:pPr>
          <a:endParaRPr lang="en-US" sz="1100" u="sng" baseline="0"/>
        </a:p>
        <a:p>
          <a:pPr marL="0" indent="0">
            <a:buClr>
              <a:schemeClr val="tx1"/>
            </a:buClr>
            <a:buFontTx/>
            <a:buNone/>
          </a:pPr>
          <a:endParaRPr lang="en-US" sz="1100" u="sng" baseline="0"/>
        </a:p>
        <a:p>
          <a:pPr marL="0" indent="0">
            <a:buClr>
              <a:schemeClr val="tx1"/>
            </a:buClr>
            <a:buFontTx/>
            <a:buNone/>
          </a:pPr>
          <a:endParaRPr lang="en-US" sz="1100" u="sng"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25400</xdr:colOff>
      <xdr:row>31</xdr:row>
      <xdr:rowOff>50800</xdr:rowOff>
    </xdr:from>
    <xdr:to>
      <xdr:col>16</xdr:col>
      <xdr:colOff>88900</xdr:colOff>
      <xdr:row>54</xdr:row>
      <xdr:rowOff>0</xdr:rowOff>
    </xdr:to>
    <xdr:sp macro="" textlink="">
      <xdr:nvSpPr>
        <xdr:cNvPr id="2" name="TextBox 1">
          <a:extLst>
            <a:ext uri="{FF2B5EF4-FFF2-40B4-BE49-F238E27FC236}">
              <a16:creationId xmlns:a16="http://schemas.microsoft.com/office/drawing/2014/main" id="{F4125742-813F-3D4B-BB17-DD0BC74C481F}"/>
            </a:ext>
          </a:extLst>
        </xdr:cNvPr>
        <xdr:cNvSpPr txBox="1"/>
      </xdr:nvSpPr>
      <xdr:spPr>
        <a:xfrm>
          <a:off x="7861300" y="7429500"/>
          <a:ext cx="7797800" cy="4660900"/>
        </a:xfrm>
        <a:prstGeom prst="rect">
          <a:avLst/>
        </a:prstGeom>
        <a:solidFill>
          <a:schemeClr val="bg2">
            <a:lumMod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Clr>
              <a:schemeClr val="tx1"/>
            </a:buClr>
            <a:buFontTx/>
            <a:buNone/>
          </a:pPr>
          <a:r>
            <a:rPr lang="en-US" sz="1100" u="sng" baseline="0"/>
            <a:t>Objective function:</a:t>
          </a:r>
        </a:p>
        <a:p>
          <a:pPr marL="0" indent="0">
            <a:buClr>
              <a:schemeClr val="tx1"/>
            </a:buClr>
            <a:buFontTx/>
            <a:buNone/>
          </a:pPr>
          <a:r>
            <a:rPr lang="en-US" sz="1100" u="none" baseline="0"/>
            <a:t>With the optimal schedule based on the model with the given constraints on the number of tellers for each hour of the working day and the number of full-time employees(hourly and daily) the minimal cost to run the branch comes to $1666.</a:t>
          </a:r>
        </a:p>
        <a:p>
          <a:pPr marL="0" indent="0">
            <a:buClr>
              <a:schemeClr val="tx1"/>
            </a:buClr>
            <a:buFontTx/>
            <a:buNone/>
          </a:pPr>
          <a:endParaRPr lang="en-US" sz="1100" u="none" baseline="0"/>
        </a:p>
        <a:p>
          <a:pPr marL="0" indent="0">
            <a:buClr>
              <a:schemeClr val="tx1"/>
            </a:buClr>
            <a:buFontTx/>
            <a:buNone/>
          </a:pPr>
          <a:r>
            <a:rPr lang="en-US" sz="1100" u="sng" baseline="0"/>
            <a:t>Constraints:</a:t>
          </a:r>
          <a:endParaRPr lang="en-US" sz="1100" u="none" baseline="0"/>
        </a:p>
        <a:p>
          <a:pPr marL="0" indent="0">
            <a:buClr>
              <a:schemeClr val="tx1"/>
            </a:buClr>
            <a:buFontTx/>
            <a:buNone/>
          </a:pPr>
          <a:r>
            <a:rPr lang="en-US" sz="1100" u="none" baseline="0"/>
            <a:t>The constraints apply to the number of tellers to be present to help the customers during each hour of the working day and the nature of the employee(full-time or part-time)</a:t>
          </a:r>
        </a:p>
        <a:p>
          <a:pPr marL="0" indent="0">
            <a:buClr>
              <a:schemeClr val="tx1"/>
            </a:buClr>
            <a:buFontTx/>
            <a:buNone/>
          </a:pPr>
          <a:r>
            <a:rPr lang="en-US" sz="1100" u="none" baseline="0"/>
            <a:t>In addition to the existing constraints, the new constraints ensure that at least 2 full-time tellers are present throughout the day and also that at least 5 full-time employees work on a daily basis.</a:t>
          </a:r>
        </a:p>
        <a:p>
          <a:pPr marL="0" indent="0">
            <a:buClr>
              <a:schemeClr val="tx1"/>
            </a:buClr>
            <a:buFontTx/>
            <a:buNone/>
          </a:pPr>
          <a:endParaRPr lang="en-US" sz="1100" u="none" baseline="0"/>
        </a:p>
        <a:p>
          <a:pPr marL="0" indent="0">
            <a:buClr>
              <a:schemeClr val="tx1"/>
            </a:buClr>
            <a:buFontTx/>
            <a:buNone/>
          </a:pPr>
          <a:r>
            <a:rPr lang="en-US" sz="1100" u="sng" baseline="0"/>
            <a:t>Optimal schedule:</a:t>
          </a:r>
        </a:p>
        <a:p>
          <a:pPr marL="0" indent="0">
            <a:buClr>
              <a:schemeClr val="tx1"/>
            </a:buClr>
            <a:buFontTx/>
            <a:buNone/>
          </a:pPr>
          <a:r>
            <a:rPr lang="en-US" sz="1100" u="sng" baseline="0"/>
            <a:t>T</a:t>
          </a:r>
          <a:r>
            <a:rPr lang="en-US" sz="1100" u="none" baseline="0"/>
            <a:t>he model recommends 2 full-time tellers starting at 9am and 3 full-time tellers starting at 11am fulfing the minim daily requirment for full-time tellers and also the hourly constraint of at- least 2 full-time tellers .</a:t>
          </a:r>
        </a:p>
        <a:p>
          <a:pPr marL="0" indent="0">
            <a:buClr>
              <a:schemeClr val="tx1"/>
            </a:buClr>
            <a:buFontTx/>
            <a:buNone/>
          </a:pPr>
          <a:r>
            <a:rPr lang="en-US" sz="1100" u="none" baseline="0"/>
            <a:t>Additionally the model prescribes that 2 part-timers start at 9 am and 12pm to meet the mid-day rush between 12pm and 2pm.</a:t>
          </a:r>
        </a:p>
        <a:p>
          <a:pPr marL="0" indent="0">
            <a:buClr>
              <a:schemeClr val="tx1"/>
            </a:buClr>
            <a:buFontTx/>
            <a:buNone/>
          </a:pPr>
          <a:endParaRPr lang="en-US" sz="1100" u="none" baseline="0"/>
        </a:p>
        <a:p>
          <a:pPr marL="0" indent="0">
            <a:buClr>
              <a:schemeClr val="tx1"/>
            </a:buClr>
            <a:buFontTx/>
            <a:buNone/>
          </a:pPr>
          <a:r>
            <a:rPr lang="en-US" sz="1100" u="sng" baseline="0"/>
            <a:t>Comments on the solution:</a:t>
          </a:r>
        </a:p>
        <a:p>
          <a:pPr marL="0" marR="0" lvl="0" indent="0" defTabSz="914400" eaLnBrk="1" fontAlgn="auto" latinLnBrk="0" hangingPunct="1">
            <a:lnSpc>
              <a:spcPct val="100000"/>
            </a:lnSpc>
            <a:spcBef>
              <a:spcPts val="0"/>
            </a:spcBef>
            <a:spcAft>
              <a:spcPts val="0"/>
            </a:spcAft>
            <a:buClr>
              <a:schemeClr val="tx1"/>
            </a:buClr>
            <a:buSzTx/>
            <a:buFontTx/>
            <a:buNone/>
            <a:tabLst/>
            <a:defRPr/>
          </a:pPr>
          <a:r>
            <a:rPr lang="en-US" sz="1100" u="none" baseline="0"/>
            <a:t>In the absence of any constraints related to engaging fill-time employees, the model prefers part-timers because of their cheaper rate. With the constraints related to full-timers in place, the model tries to meet it the bare minimum and fills the rest with part-time tellers. This can be visually seen in the optimal schedule chart.</a:t>
          </a:r>
        </a:p>
        <a:p>
          <a:pPr marL="0" indent="0">
            <a:buClr>
              <a:schemeClr val="tx1"/>
            </a:buClr>
            <a:buFontTx/>
            <a:buNone/>
          </a:pPr>
          <a:endParaRPr lang="en-US" sz="1100" u="sng" baseline="0"/>
        </a:p>
        <a:p>
          <a:pPr marL="0" indent="0">
            <a:buClr>
              <a:schemeClr val="tx1"/>
            </a:buClr>
            <a:buFontTx/>
            <a:buNone/>
          </a:pPr>
          <a:r>
            <a:rPr lang="en-US" sz="1100" u="none" baseline="0"/>
            <a:t>As expected, the added constraints increase the daily cost of operations to $1666</a:t>
          </a:r>
        </a:p>
        <a:p>
          <a:pPr marL="0" indent="0">
            <a:buClr>
              <a:schemeClr val="tx1"/>
            </a:buClr>
            <a:buFontTx/>
            <a:buNone/>
          </a:pPr>
          <a:endParaRPr lang="en-US" sz="1100" u="sng" baseline="0"/>
        </a:p>
        <a:p>
          <a:pPr marL="0" indent="0">
            <a:buClr>
              <a:schemeClr val="tx1"/>
            </a:buClr>
            <a:buFontTx/>
            <a:buNone/>
          </a:pPr>
          <a:endParaRPr lang="en-US" sz="1100" u="sng" baseline="0"/>
        </a:p>
        <a:p>
          <a:pPr marL="0" indent="0">
            <a:buClr>
              <a:schemeClr val="tx1"/>
            </a:buClr>
            <a:buFontTx/>
            <a:buNone/>
          </a:pPr>
          <a:endParaRPr lang="en-US" sz="1100" u="sng"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161637</xdr:colOff>
      <xdr:row>30</xdr:row>
      <xdr:rowOff>80817</xdr:rowOff>
    </xdr:from>
    <xdr:to>
      <xdr:col>15</xdr:col>
      <xdr:colOff>727365</xdr:colOff>
      <xdr:row>51</xdr:row>
      <xdr:rowOff>34636</xdr:rowOff>
    </xdr:to>
    <xdr:sp macro="" textlink="">
      <xdr:nvSpPr>
        <xdr:cNvPr id="2" name="TextBox 1">
          <a:extLst>
            <a:ext uri="{FF2B5EF4-FFF2-40B4-BE49-F238E27FC236}">
              <a16:creationId xmlns:a16="http://schemas.microsoft.com/office/drawing/2014/main" id="{FC5E4D45-9E56-CD4A-A6BC-B8FA1EC83C64}"/>
            </a:ext>
          </a:extLst>
        </xdr:cNvPr>
        <xdr:cNvSpPr txBox="1"/>
      </xdr:nvSpPr>
      <xdr:spPr>
        <a:xfrm>
          <a:off x="7331364" y="7365999"/>
          <a:ext cx="9582728" cy="4341092"/>
        </a:xfrm>
        <a:prstGeom prst="rect">
          <a:avLst/>
        </a:prstGeom>
        <a:solidFill>
          <a:schemeClr val="bg2">
            <a:lumMod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Clr>
              <a:schemeClr val="tx1"/>
            </a:buClr>
            <a:buFontTx/>
            <a:buNone/>
          </a:pPr>
          <a:r>
            <a:rPr lang="en-US" sz="1100" u="sng" baseline="0"/>
            <a:t>Objective function:</a:t>
          </a:r>
        </a:p>
        <a:p>
          <a:pPr marL="0" indent="0">
            <a:buClr>
              <a:schemeClr val="tx1"/>
            </a:buClr>
            <a:buFontTx/>
            <a:buNone/>
          </a:pPr>
          <a:r>
            <a:rPr lang="en-US" sz="1100" u="none" baseline="0"/>
            <a:t>With the optimal schedule based on the model with the given constraints on the number of tellers for each hour of the working day and the number of full-time employees(hourly and daily)  and the additional constraint of the number of full-time tellers per day should be at least 67% of the total number of full- and part-time tellers per day the minimal cost to run the branch comes to $2030.</a:t>
          </a:r>
        </a:p>
        <a:p>
          <a:pPr marL="0" indent="0">
            <a:buClr>
              <a:schemeClr val="tx1"/>
            </a:buClr>
            <a:buFontTx/>
            <a:buNone/>
          </a:pPr>
          <a:r>
            <a:rPr lang="en-US" sz="1100" u="sng" baseline="0"/>
            <a:t>Constraints:</a:t>
          </a:r>
          <a:endParaRPr lang="en-US" sz="1100" u="none" baseline="0"/>
        </a:p>
        <a:p>
          <a:pPr marL="0" indent="0">
            <a:buClr>
              <a:schemeClr val="tx1"/>
            </a:buClr>
            <a:buFontTx/>
            <a:buNone/>
          </a:pPr>
          <a:r>
            <a:rPr lang="en-US" sz="1100" u="none" baseline="0"/>
            <a:t>The constraints apply to the number of tellers to be present to help the customers during each hour of the working day and the nature of the employee(full-time or part-time)</a:t>
          </a:r>
        </a:p>
        <a:p>
          <a:pPr marL="0" indent="0">
            <a:buClr>
              <a:schemeClr val="tx1"/>
            </a:buClr>
            <a:buFontTx/>
            <a:buNone/>
          </a:pPr>
          <a:endParaRPr lang="en-US" sz="1100" u="none" baseline="0"/>
        </a:p>
        <a:p>
          <a:pPr marL="0" indent="0">
            <a:buClr>
              <a:schemeClr val="tx1"/>
            </a:buClr>
            <a:buFontTx/>
            <a:buNone/>
          </a:pPr>
          <a:r>
            <a:rPr lang="en-US" sz="1100" u="none" baseline="0"/>
            <a:t>In addition to the existing constraints, the new constraints ensure that at least 2 full-time tellers are present throughout the day and also that at least 5 full-time employees work on a daily basis.</a:t>
          </a:r>
        </a:p>
        <a:p>
          <a:pPr marL="0" indent="0">
            <a:buClr>
              <a:schemeClr val="tx1"/>
            </a:buClr>
            <a:buFontTx/>
            <a:buNone/>
          </a:pPr>
          <a:endParaRPr lang="en-US" sz="1100" u="none" baseline="0"/>
        </a:p>
        <a:p>
          <a:pPr marL="0" indent="0">
            <a:buClr>
              <a:schemeClr val="tx1"/>
            </a:buClr>
            <a:buFontTx/>
            <a:buNone/>
          </a:pPr>
          <a:r>
            <a:rPr lang="en-US" sz="1100" u="none" baseline="0"/>
            <a:t>Also, the constractual obligations with the Bank union ensures that the number of full-time tellers per day should be at least 67% of the total number of full- and part-time tellers per day</a:t>
          </a:r>
        </a:p>
        <a:p>
          <a:pPr marL="0" indent="0">
            <a:buClr>
              <a:schemeClr val="tx1"/>
            </a:buClr>
            <a:buFontTx/>
            <a:buNone/>
          </a:pPr>
          <a:endParaRPr lang="en-US" sz="1100" u="none" baseline="0"/>
        </a:p>
        <a:p>
          <a:pPr marL="0" indent="0">
            <a:buClr>
              <a:schemeClr val="tx1"/>
            </a:buClr>
            <a:buFontTx/>
            <a:buNone/>
          </a:pPr>
          <a:r>
            <a:rPr lang="en-US" sz="1100" u="sng" baseline="0"/>
            <a:t>Optimal schedule:</a:t>
          </a:r>
        </a:p>
        <a:p>
          <a:pPr marL="0" indent="0">
            <a:buClr>
              <a:schemeClr val="tx1"/>
            </a:buClr>
            <a:buFontTx/>
            <a:buNone/>
          </a:pPr>
          <a:r>
            <a:rPr lang="en-US" sz="1100" u="none" baseline="0"/>
            <a:t>The model recommends 2 full-time tellers starting at 9am and 10 am, 3 full-time tellers starting at 11am to fulfil the hourly and daily constraints on the full-time tellers. </a:t>
          </a:r>
        </a:p>
        <a:p>
          <a:pPr marL="0" indent="0">
            <a:buClr>
              <a:schemeClr val="tx1"/>
            </a:buClr>
            <a:buFontTx/>
            <a:buNone/>
          </a:pPr>
          <a:r>
            <a:rPr lang="en-US" sz="1100" u="none" baseline="0"/>
            <a:t>Additionally the model prescribes that 2 part-timers start at 9 am to meet the opening hour needs between 9am and 10am.</a:t>
          </a:r>
        </a:p>
        <a:p>
          <a:pPr marL="0" indent="0">
            <a:buClr>
              <a:schemeClr val="tx1"/>
            </a:buClr>
            <a:buFontTx/>
            <a:buNone/>
          </a:pPr>
          <a:endParaRPr lang="en-US" sz="1100" u="none" baseline="0"/>
        </a:p>
        <a:p>
          <a:pPr marL="0" indent="0">
            <a:buClr>
              <a:schemeClr val="tx1"/>
            </a:buClr>
            <a:buFontTx/>
            <a:buNone/>
          </a:pPr>
          <a:r>
            <a:rPr lang="en-US" sz="1100" u="sng" baseline="0"/>
            <a:t>Comments on the solution:</a:t>
          </a:r>
        </a:p>
        <a:p>
          <a:pPr marL="0" indent="0">
            <a:buClr>
              <a:schemeClr val="tx1"/>
            </a:buClr>
            <a:buFontTx/>
            <a:buNone/>
          </a:pPr>
          <a:r>
            <a:rPr lang="en-US" sz="1100" u="none" baseline="0"/>
            <a:t>With all the cobstraints and constractual obligations in place, the model is made to prioritize the full-time tellers and fill the excess need with the part-time tellers.</a:t>
          </a:r>
        </a:p>
        <a:p>
          <a:pPr marL="0" indent="0">
            <a:buClr>
              <a:schemeClr val="tx1"/>
            </a:buClr>
            <a:buFontTx/>
            <a:buNone/>
          </a:pPr>
          <a:endParaRPr lang="en-US" sz="1100" u="none" baseline="0"/>
        </a:p>
        <a:p>
          <a:pPr marL="0" indent="0">
            <a:buClr>
              <a:schemeClr val="tx1"/>
            </a:buClr>
            <a:buFontTx/>
            <a:buNone/>
          </a:pPr>
          <a:r>
            <a:rPr lang="en-US" sz="1100" u="none" baseline="0"/>
            <a:t>As expected, the daily running cost of the branch increases to $2030 as we are employing more full-timers in constrast to the first suggested model with only part-time tellers.</a:t>
          </a:r>
        </a:p>
      </xdr:txBody>
    </xdr:sp>
    <xdr:clientData/>
  </xdr:twoCellAnchor>
  <xdr:twoCellAnchor>
    <xdr:from>
      <xdr:col>6</xdr:col>
      <xdr:colOff>178593</xdr:colOff>
      <xdr:row>72</xdr:row>
      <xdr:rowOff>46181</xdr:rowOff>
    </xdr:from>
    <xdr:to>
      <xdr:col>11</xdr:col>
      <xdr:colOff>238125</xdr:colOff>
      <xdr:row>99</xdr:row>
      <xdr:rowOff>11906</xdr:rowOff>
    </xdr:to>
    <xdr:sp macro="" textlink="">
      <xdr:nvSpPr>
        <xdr:cNvPr id="4" name="TextBox 3">
          <a:extLst>
            <a:ext uri="{FF2B5EF4-FFF2-40B4-BE49-F238E27FC236}">
              <a16:creationId xmlns:a16="http://schemas.microsoft.com/office/drawing/2014/main" id="{4DE2A883-76C5-8A45-928E-0663F19E7AC4}"/>
            </a:ext>
          </a:extLst>
        </xdr:cNvPr>
        <xdr:cNvSpPr txBox="1"/>
      </xdr:nvSpPr>
      <xdr:spPr>
        <a:xfrm>
          <a:off x="7394502" y="25261454"/>
          <a:ext cx="6143987" cy="5576816"/>
        </a:xfrm>
        <a:prstGeom prst="rect">
          <a:avLst/>
        </a:prstGeom>
        <a:solidFill>
          <a:schemeClr val="bg2">
            <a:lumMod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Comparison</a:t>
          </a:r>
          <a:r>
            <a:rPr lang="en-US" sz="1100" u="sng" baseline="0"/>
            <a:t> of solutions:</a:t>
          </a:r>
        </a:p>
        <a:p>
          <a:endParaRPr lang="en-US" sz="1100" u="sng" baseline="0"/>
        </a:p>
        <a:p>
          <a:pPr marL="0" marR="0" indent="0" defTabSz="914400" eaLnBrk="1" fontAlgn="auto" latinLnBrk="0" hangingPunct="1">
            <a:lnSpc>
              <a:spcPct val="100000"/>
            </a:lnSpc>
            <a:spcBef>
              <a:spcPts val="0"/>
            </a:spcBef>
            <a:spcAft>
              <a:spcPts val="0"/>
            </a:spcAft>
            <a:buClrTx/>
            <a:buSzTx/>
            <a:buFontTx/>
            <a:buNone/>
            <a:tabLst/>
            <a:defRPr/>
          </a:pPr>
          <a:r>
            <a:rPr lang="en-US" sz="1100" b="0" i="0" u="sng" strike="noStrike">
              <a:solidFill>
                <a:schemeClr val="dk1"/>
              </a:solidFill>
              <a:effectLst/>
              <a:latin typeface="+mn-lt"/>
              <a:ea typeface="+mn-ea"/>
              <a:cs typeface="+mn-cs"/>
            </a:rPr>
            <a:t>With no constraints</a:t>
          </a:r>
          <a:r>
            <a:rPr lang="en-US" sz="1100" b="0" i="0" u="sng" strike="noStrike" baseline="0">
              <a:solidFill>
                <a:schemeClr val="dk1"/>
              </a:solidFill>
              <a:effectLst/>
              <a:latin typeface="+mn-lt"/>
              <a:ea typeface="+mn-ea"/>
              <a:cs typeface="+mn-cs"/>
            </a:rPr>
            <a:t> </a:t>
          </a:r>
          <a:r>
            <a:rPr lang="en-US" sz="1100" b="0" i="0" u="sng" strike="noStrike">
              <a:solidFill>
                <a:schemeClr val="dk1"/>
              </a:solidFill>
              <a:effectLst/>
              <a:latin typeface="+mn-lt"/>
              <a:ea typeface="+mn-ea"/>
              <a:cs typeface="+mn-cs"/>
            </a:rPr>
            <a:t>on the part-time/full-time tellers(sol-2)</a:t>
          </a:r>
          <a:r>
            <a:rPr lang="en-US" u="sng"/>
            <a:t> </a:t>
          </a:r>
        </a:p>
        <a:p>
          <a:pPr marL="0" marR="0" indent="0" defTabSz="914400" eaLnBrk="1" fontAlgn="auto" latinLnBrk="0" hangingPunct="1">
            <a:lnSpc>
              <a:spcPct val="100000"/>
            </a:lnSpc>
            <a:spcBef>
              <a:spcPts val="0"/>
            </a:spcBef>
            <a:spcAft>
              <a:spcPts val="0"/>
            </a:spcAft>
            <a:buClrTx/>
            <a:buSzTx/>
            <a:buFontTx/>
            <a:buNone/>
            <a:tabLst/>
            <a:defRPr/>
          </a:pPr>
          <a:r>
            <a:rPr lang="en-US" u="none"/>
            <a:t>We see a total of 12 employees working in this model. This is because they</a:t>
          </a:r>
          <a:r>
            <a:rPr lang="en-US" u="none" baseline="0"/>
            <a:t> are all part-timers working 4 hours each. Hence the increased number to cover the whole day.</a:t>
          </a:r>
        </a:p>
        <a:p>
          <a:pPr marL="0" marR="0" indent="0" defTabSz="914400" eaLnBrk="1" fontAlgn="auto" latinLnBrk="0" hangingPunct="1">
            <a:lnSpc>
              <a:spcPct val="100000"/>
            </a:lnSpc>
            <a:spcBef>
              <a:spcPts val="0"/>
            </a:spcBef>
            <a:spcAft>
              <a:spcPts val="0"/>
            </a:spcAft>
            <a:buClrTx/>
            <a:buSzTx/>
            <a:buFontTx/>
            <a:buNone/>
            <a:tabLst/>
            <a:defRPr/>
          </a:pPr>
          <a:endParaRPr lang="en-US" u="none"/>
        </a:p>
        <a:p>
          <a:pPr marL="0" marR="0" indent="0" defTabSz="914400" eaLnBrk="1" fontAlgn="auto" latinLnBrk="0" hangingPunct="1">
            <a:lnSpc>
              <a:spcPct val="100000"/>
            </a:lnSpc>
            <a:spcBef>
              <a:spcPts val="0"/>
            </a:spcBef>
            <a:spcAft>
              <a:spcPts val="0"/>
            </a:spcAft>
            <a:buClrTx/>
            <a:buSzTx/>
            <a:buFontTx/>
            <a:buNone/>
            <a:tabLst/>
            <a:defRPr/>
          </a:pPr>
          <a:r>
            <a:rPr lang="en-US" u="none" baseline="0"/>
            <a:t> cost-wise this is the most optimal solution because of the $21 per hour rate which is cheaper than what is being paid to full-timers.</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However,there is a chance of customer service and satisfaction being impacted because the work force is entirely made of part-time employees.</a:t>
          </a:r>
        </a:p>
        <a:p>
          <a:pPr marL="0" marR="0" indent="0" defTabSz="914400" eaLnBrk="1" fontAlgn="auto" latinLnBrk="0" hangingPunct="1">
            <a:lnSpc>
              <a:spcPct val="100000"/>
            </a:lnSpc>
            <a:spcBef>
              <a:spcPts val="0"/>
            </a:spcBef>
            <a:spcAft>
              <a:spcPts val="0"/>
            </a:spcAft>
            <a:buClrTx/>
            <a:buSzTx/>
            <a:buFontTx/>
            <a:buNone/>
            <a:tabLst/>
            <a:defRPr/>
          </a:pPr>
          <a:r>
            <a:rPr lang="en-US" u="none" baseline="0"/>
            <a:t>Continuity and familiarity play a vital role for businesses. Hence this is not a feasible solution if the bank is particular about customer satisfaction.</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sng" baseline="0"/>
            <a:t>With constraints on the part-time/full-time tellers(sol-3)</a:t>
          </a:r>
        </a:p>
        <a:p>
          <a:pPr marL="0" marR="0" indent="0" defTabSz="914400" eaLnBrk="1" fontAlgn="auto" latinLnBrk="0" hangingPunct="1">
            <a:lnSpc>
              <a:spcPct val="100000"/>
            </a:lnSpc>
            <a:spcBef>
              <a:spcPts val="0"/>
            </a:spcBef>
            <a:spcAft>
              <a:spcPts val="0"/>
            </a:spcAft>
            <a:buClrTx/>
            <a:buSzTx/>
            <a:buFontTx/>
            <a:buNone/>
            <a:tabLst/>
            <a:defRPr/>
          </a:pPr>
          <a:r>
            <a:rPr lang="en-US" u="none" baseline="0"/>
            <a:t>We see a total of 9 employees working as per this model(5 full-timer, 4 part-timers). However the total daily cost goes up by a considerable amount of $658 because of the hourly rate of full-timers is fixed at $38</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 However the solution seems to have a healthy mix of full-time and part-time employees. This way the bank can also save on the daily cost without compromising on the customer satisfaction.</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sng" baseline="0"/>
            <a:t>With constraints of 67% full-time tellers(sol-4)</a:t>
          </a: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With the contractual obligations with the bank's union that the number of full-time tellers per day should be at least 67% of the total number of full- and part-time tellers per day, increases the daily cost of operations as expected.</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Though this solution has the same number of employees working as in sol-2, the total daily cost goes up to $2030 because of the increased number of full-timers(7 full-timers and 2 part-timers in contrast to 5 full-timers and 4 part-timers in sol-2).</a:t>
          </a:r>
        </a:p>
        <a:p>
          <a:pPr marL="0" marR="0" indent="0" defTabSz="914400" eaLnBrk="1" fontAlgn="auto" latinLnBrk="0" hangingPunct="1">
            <a:lnSpc>
              <a:spcPct val="100000"/>
            </a:lnSpc>
            <a:spcBef>
              <a:spcPts val="0"/>
            </a:spcBef>
            <a:spcAft>
              <a:spcPts val="0"/>
            </a:spcAft>
            <a:buClrTx/>
            <a:buSzTx/>
            <a:buFontTx/>
            <a:buNone/>
            <a:tabLst/>
            <a:defRPr/>
          </a:pPr>
          <a:r>
            <a:rPr lang="en-US" u="none" baseline="0"/>
            <a:t>This presents a good scope to analyze further.</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endParaRPr lang="en-US" u="none"/>
        </a:p>
        <a:p>
          <a:pPr marL="0" marR="0" indent="0" defTabSz="914400" eaLnBrk="1" fontAlgn="auto" latinLnBrk="0" hangingPunct="1">
            <a:lnSpc>
              <a:spcPct val="100000"/>
            </a:lnSpc>
            <a:spcBef>
              <a:spcPts val="0"/>
            </a:spcBef>
            <a:spcAft>
              <a:spcPts val="0"/>
            </a:spcAft>
            <a:buClrTx/>
            <a:buSzTx/>
            <a:buFontTx/>
            <a:buNone/>
            <a:tabLst/>
            <a:defRPr/>
          </a:pPr>
          <a:endParaRPr lang="en-US" sz="1100" u="none"/>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161637</xdr:colOff>
      <xdr:row>30</xdr:row>
      <xdr:rowOff>80817</xdr:rowOff>
    </xdr:from>
    <xdr:to>
      <xdr:col>15</xdr:col>
      <xdr:colOff>727365</xdr:colOff>
      <xdr:row>51</xdr:row>
      <xdr:rowOff>34636</xdr:rowOff>
    </xdr:to>
    <xdr:sp macro="" textlink="">
      <xdr:nvSpPr>
        <xdr:cNvPr id="2" name="TextBox 1">
          <a:extLst>
            <a:ext uri="{FF2B5EF4-FFF2-40B4-BE49-F238E27FC236}">
              <a16:creationId xmlns:a16="http://schemas.microsoft.com/office/drawing/2014/main" id="{9B0B7D8D-607B-495A-B065-3D8888080CCB}"/>
            </a:ext>
          </a:extLst>
        </xdr:cNvPr>
        <xdr:cNvSpPr txBox="1"/>
      </xdr:nvSpPr>
      <xdr:spPr>
        <a:xfrm>
          <a:off x="7362537" y="7081692"/>
          <a:ext cx="9614478" cy="4173394"/>
        </a:xfrm>
        <a:prstGeom prst="rect">
          <a:avLst/>
        </a:prstGeom>
        <a:solidFill>
          <a:schemeClr val="bg2">
            <a:lumMod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Clr>
              <a:schemeClr val="tx1"/>
            </a:buClr>
            <a:buFontTx/>
            <a:buNone/>
          </a:pPr>
          <a:r>
            <a:rPr lang="en-US" sz="1100" u="sng" baseline="0"/>
            <a:t>Objective function:</a:t>
          </a:r>
        </a:p>
        <a:p>
          <a:pPr marL="0" indent="0">
            <a:buClr>
              <a:schemeClr val="tx1"/>
            </a:buClr>
            <a:buFontTx/>
            <a:buNone/>
          </a:pPr>
          <a:r>
            <a:rPr lang="en-US" sz="1100" u="none" baseline="0"/>
            <a:t>With the optimal schedule based on the model with the given constraints on the number of tellers for each hour of the working day and the number of full-time employees(hourly and daily)  and the additional constraint of the number of full-time tellers per day should be at least 67% of the total number of full- and part-time tellers per day the minimal cost to run the branch comes to $2030.</a:t>
          </a:r>
        </a:p>
        <a:p>
          <a:pPr marL="0" indent="0">
            <a:buClr>
              <a:schemeClr val="tx1"/>
            </a:buClr>
            <a:buFontTx/>
            <a:buNone/>
          </a:pPr>
          <a:r>
            <a:rPr lang="en-US" sz="1100" u="sng" baseline="0"/>
            <a:t>Constraints:</a:t>
          </a:r>
          <a:endParaRPr lang="en-US" sz="1100" u="none" baseline="0"/>
        </a:p>
        <a:p>
          <a:pPr marL="0" indent="0">
            <a:buClr>
              <a:schemeClr val="tx1"/>
            </a:buClr>
            <a:buFontTx/>
            <a:buNone/>
          </a:pPr>
          <a:r>
            <a:rPr lang="en-US" sz="1100" u="none" baseline="0"/>
            <a:t>The constraints apply to the number of tellers to be present to help the customers during each hour of the working day and the nature of the employee(full-time or part-time)</a:t>
          </a:r>
        </a:p>
        <a:p>
          <a:pPr marL="0" indent="0">
            <a:buClr>
              <a:schemeClr val="tx1"/>
            </a:buClr>
            <a:buFontTx/>
            <a:buNone/>
          </a:pPr>
          <a:endParaRPr lang="en-US" sz="1100" u="none" baseline="0"/>
        </a:p>
        <a:p>
          <a:pPr marL="0" indent="0">
            <a:buClr>
              <a:schemeClr val="tx1"/>
            </a:buClr>
            <a:buFontTx/>
            <a:buNone/>
          </a:pPr>
          <a:r>
            <a:rPr lang="en-US" sz="1100" u="none" baseline="0"/>
            <a:t>In addition to the existing constraints, the new constraints ensure that at least 2 full-time tellers are present throughout the day and also that at least 5 full-time employees work on a daily basis.</a:t>
          </a:r>
        </a:p>
        <a:p>
          <a:pPr marL="0" indent="0">
            <a:buClr>
              <a:schemeClr val="tx1"/>
            </a:buClr>
            <a:buFontTx/>
            <a:buNone/>
          </a:pPr>
          <a:endParaRPr lang="en-US" sz="1100" u="none" baseline="0"/>
        </a:p>
        <a:p>
          <a:pPr marL="0" indent="0">
            <a:buClr>
              <a:schemeClr val="tx1"/>
            </a:buClr>
            <a:buFontTx/>
            <a:buNone/>
          </a:pPr>
          <a:r>
            <a:rPr lang="en-US" sz="1100" u="none" baseline="0"/>
            <a:t>Also, the constractual obligations with the Bank union ensures that the number of full-time tellers per day should be at least 67% of the total number of full- and part-time tellers per day</a:t>
          </a:r>
        </a:p>
        <a:p>
          <a:pPr marL="0" indent="0">
            <a:buClr>
              <a:schemeClr val="tx1"/>
            </a:buClr>
            <a:buFontTx/>
            <a:buNone/>
          </a:pPr>
          <a:endParaRPr lang="en-US" sz="1100" u="none" baseline="0"/>
        </a:p>
        <a:p>
          <a:pPr marL="0" indent="0">
            <a:buClr>
              <a:schemeClr val="tx1"/>
            </a:buClr>
            <a:buFontTx/>
            <a:buNone/>
          </a:pPr>
          <a:r>
            <a:rPr lang="en-US" sz="1100" u="sng" baseline="0"/>
            <a:t>Optimal schedule:</a:t>
          </a:r>
        </a:p>
        <a:p>
          <a:pPr marL="0" indent="0">
            <a:buClr>
              <a:schemeClr val="tx1"/>
            </a:buClr>
            <a:buFontTx/>
            <a:buNone/>
          </a:pPr>
          <a:r>
            <a:rPr lang="en-US" sz="1100" u="none" baseline="0"/>
            <a:t>The model recommends 2 full-time tellers starting at 9am and 10 am, 3 full-time tellers starting at 11am to fulfil the hourly and daily constraints on the full-time tellers. </a:t>
          </a:r>
        </a:p>
        <a:p>
          <a:pPr marL="0" indent="0">
            <a:buClr>
              <a:schemeClr val="tx1"/>
            </a:buClr>
            <a:buFontTx/>
            <a:buNone/>
          </a:pPr>
          <a:r>
            <a:rPr lang="en-US" sz="1100" u="none" baseline="0"/>
            <a:t>Additionally the model prescribes that 2 part-timers start at 9 am to meet the opening hour needs between 9am and 10am.</a:t>
          </a:r>
        </a:p>
        <a:p>
          <a:pPr marL="0" indent="0">
            <a:buClr>
              <a:schemeClr val="tx1"/>
            </a:buClr>
            <a:buFontTx/>
            <a:buNone/>
          </a:pPr>
          <a:endParaRPr lang="en-US" sz="1100" u="none" baseline="0"/>
        </a:p>
        <a:p>
          <a:pPr marL="0" indent="0">
            <a:buClr>
              <a:schemeClr val="tx1"/>
            </a:buClr>
            <a:buFontTx/>
            <a:buNone/>
          </a:pPr>
          <a:r>
            <a:rPr lang="en-US" sz="1100" u="sng" baseline="0"/>
            <a:t>Comments on the solution:</a:t>
          </a:r>
        </a:p>
        <a:p>
          <a:pPr marL="0" indent="0">
            <a:buClr>
              <a:schemeClr val="tx1"/>
            </a:buClr>
            <a:buFontTx/>
            <a:buNone/>
          </a:pPr>
          <a:r>
            <a:rPr lang="en-US" sz="1100" u="none" baseline="0"/>
            <a:t>With all the cobstraints and constractual obligations in place, the model is made to prioritize the full-time tellers and fill the excess need with the part-time tellers.</a:t>
          </a:r>
        </a:p>
        <a:p>
          <a:pPr marL="0" indent="0">
            <a:buClr>
              <a:schemeClr val="tx1"/>
            </a:buClr>
            <a:buFontTx/>
            <a:buNone/>
          </a:pPr>
          <a:endParaRPr lang="en-US" sz="1100" u="none" baseline="0"/>
        </a:p>
        <a:p>
          <a:pPr marL="0" indent="0">
            <a:buClr>
              <a:schemeClr val="tx1"/>
            </a:buClr>
            <a:buFontTx/>
            <a:buNone/>
          </a:pPr>
          <a:r>
            <a:rPr lang="en-US" sz="1100" u="none" baseline="0"/>
            <a:t>As expected, the daily running cost of the branch increases to $2030 as we are employing more full-timers in constrast to the first suggested model with only part-time tellers.</a:t>
          </a:r>
        </a:p>
      </xdr:txBody>
    </xdr:sp>
    <xdr:clientData/>
  </xdr:twoCellAnchor>
  <xdr:twoCellAnchor>
    <xdr:from>
      <xdr:col>6</xdr:col>
      <xdr:colOff>178593</xdr:colOff>
      <xdr:row>70</xdr:row>
      <xdr:rowOff>46181</xdr:rowOff>
    </xdr:from>
    <xdr:to>
      <xdr:col>11</xdr:col>
      <xdr:colOff>238125</xdr:colOff>
      <xdr:row>97</xdr:row>
      <xdr:rowOff>11906</xdr:rowOff>
    </xdr:to>
    <xdr:sp macro="" textlink="">
      <xdr:nvSpPr>
        <xdr:cNvPr id="3" name="TextBox 2">
          <a:extLst>
            <a:ext uri="{FF2B5EF4-FFF2-40B4-BE49-F238E27FC236}">
              <a16:creationId xmlns:a16="http://schemas.microsoft.com/office/drawing/2014/main" id="{1ED3BAB6-83A8-4902-9C7D-9BF3F6C49C85}"/>
            </a:ext>
          </a:extLst>
        </xdr:cNvPr>
        <xdr:cNvSpPr txBox="1"/>
      </xdr:nvSpPr>
      <xdr:spPr>
        <a:xfrm>
          <a:off x="7379493" y="15991031"/>
          <a:ext cx="6136482" cy="5366400"/>
        </a:xfrm>
        <a:prstGeom prst="rect">
          <a:avLst/>
        </a:prstGeom>
        <a:solidFill>
          <a:schemeClr val="bg2">
            <a:lumMod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Comparison</a:t>
          </a:r>
          <a:r>
            <a:rPr lang="en-US" sz="1100" u="sng" baseline="0"/>
            <a:t> of solutions:</a:t>
          </a:r>
        </a:p>
        <a:p>
          <a:endParaRPr lang="en-US" sz="1100" u="sng" baseline="0"/>
        </a:p>
        <a:p>
          <a:pPr marL="0" marR="0" indent="0" defTabSz="914400" eaLnBrk="1" fontAlgn="auto" latinLnBrk="0" hangingPunct="1">
            <a:lnSpc>
              <a:spcPct val="100000"/>
            </a:lnSpc>
            <a:spcBef>
              <a:spcPts val="0"/>
            </a:spcBef>
            <a:spcAft>
              <a:spcPts val="0"/>
            </a:spcAft>
            <a:buClrTx/>
            <a:buSzTx/>
            <a:buFontTx/>
            <a:buNone/>
            <a:tabLst/>
            <a:defRPr/>
          </a:pPr>
          <a:r>
            <a:rPr lang="en-US" sz="1100" b="0" i="0" u="sng" strike="noStrike">
              <a:solidFill>
                <a:schemeClr val="dk1"/>
              </a:solidFill>
              <a:effectLst/>
              <a:latin typeface="+mn-lt"/>
              <a:ea typeface="+mn-ea"/>
              <a:cs typeface="+mn-cs"/>
            </a:rPr>
            <a:t>With no constraints</a:t>
          </a:r>
          <a:r>
            <a:rPr lang="en-US" sz="1100" b="0" i="0" u="sng" strike="noStrike" baseline="0">
              <a:solidFill>
                <a:schemeClr val="dk1"/>
              </a:solidFill>
              <a:effectLst/>
              <a:latin typeface="+mn-lt"/>
              <a:ea typeface="+mn-ea"/>
              <a:cs typeface="+mn-cs"/>
            </a:rPr>
            <a:t> </a:t>
          </a:r>
          <a:r>
            <a:rPr lang="en-US" sz="1100" b="0" i="0" u="sng" strike="noStrike">
              <a:solidFill>
                <a:schemeClr val="dk1"/>
              </a:solidFill>
              <a:effectLst/>
              <a:latin typeface="+mn-lt"/>
              <a:ea typeface="+mn-ea"/>
              <a:cs typeface="+mn-cs"/>
            </a:rPr>
            <a:t>on the part-time/full-time tellers(sol-2)</a:t>
          </a:r>
          <a:r>
            <a:rPr lang="en-US" u="sng"/>
            <a:t> </a:t>
          </a:r>
        </a:p>
        <a:p>
          <a:pPr marL="0" marR="0" indent="0" defTabSz="914400" eaLnBrk="1" fontAlgn="auto" latinLnBrk="0" hangingPunct="1">
            <a:lnSpc>
              <a:spcPct val="100000"/>
            </a:lnSpc>
            <a:spcBef>
              <a:spcPts val="0"/>
            </a:spcBef>
            <a:spcAft>
              <a:spcPts val="0"/>
            </a:spcAft>
            <a:buClrTx/>
            <a:buSzTx/>
            <a:buFontTx/>
            <a:buNone/>
            <a:tabLst/>
            <a:defRPr/>
          </a:pPr>
          <a:r>
            <a:rPr lang="en-US" u="none"/>
            <a:t>We see a total of 12 employees working in this model. This is because they</a:t>
          </a:r>
          <a:r>
            <a:rPr lang="en-US" u="none" baseline="0"/>
            <a:t> are all part-timers working 4 hours each. Hence the increased number to cover the whole day.</a:t>
          </a:r>
        </a:p>
        <a:p>
          <a:pPr marL="0" marR="0" indent="0" defTabSz="914400" eaLnBrk="1" fontAlgn="auto" latinLnBrk="0" hangingPunct="1">
            <a:lnSpc>
              <a:spcPct val="100000"/>
            </a:lnSpc>
            <a:spcBef>
              <a:spcPts val="0"/>
            </a:spcBef>
            <a:spcAft>
              <a:spcPts val="0"/>
            </a:spcAft>
            <a:buClrTx/>
            <a:buSzTx/>
            <a:buFontTx/>
            <a:buNone/>
            <a:tabLst/>
            <a:defRPr/>
          </a:pPr>
          <a:endParaRPr lang="en-US" u="none"/>
        </a:p>
        <a:p>
          <a:pPr marL="0" marR="0" indent="0" defTabSz="914400" eaLnBrk="1" fontAlgn="auto" latinLnBrk="0" hangingPunct="1">
            <a:lnSpc>
              <a:spcPct val="100000"/>
            </a:lnSpc>
            <a:spcBef>
              <a:spcPts val="0"/>
            </a:spcBef>
            <a:spcAft>
              <a:spcPts val="0"/>
            </a:spcAft>
            <a:buClrTx/>
            <a:buSzTx/>
            <a:buFontTx/>
            <a:buNone/>
            <a:tabLst/>
            <a:defRPr/>
          </a:pPr>
          <a:r>
            <a:rPr lang="en-US" u="none" baseline="0"/>
            <a:t> cost-wise this is the most optimal solution because of the $21 per hour rate which is cheaper than what is being paid to full-timers.</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However,there is a chance of customer service and satisfaction being impacted because the work force is entirely made of part-time employees.</a:t>
          </a:r>
        </a:p>
        <a:p>
          <a:pPr marL="0" marR="0" indent="0" defTabSz="914400" eaLnBrk="1" fontAlgn="auto" latinLnBrk="0" hangingPunct="1">
            <a:lnSpc>
              <a:spcPct val="100000"/>
            </a:lnSpc>
            <a:spcBef>
              <a:spcPts val="0"/>
            </a:spcBef>
            <a:spcAft>
              <a:spcPts val="0"/>
            </a:spcAft>
            <a:buClrTx/>
            <a:buSzTx/>
            <a:buFontTx/>
            <a:buNone/>
            <a:tabLst/>
            <a:defRPr/>
          </a:pPr>
          <a:r>
            <a:rPr lang="en-US" u="none" baseline="0"/>
            <a:t>Continuity and familiarity play a vital role for businesses. Hence this is not a feasible solution if the bank is particular about customer satisfaction.</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sng" baseline="0"/>
            <a:t>With constraints on the part-time/full-time tellers(sol-3)</a:t>
          </a:r>
        </a:p>
        <a:p>
          <a:pPr marL="0" marR="0" indent="0" defTabSz="914400" eaLnBrk="1" fontAlgn="auto" latinLnBrk="0" hangingPunct="1">
            <a:lnSpc>
              <a:spcPct val="100000"/>
            </a:lnSpc>
            <a:spcBef>
              <a:spcPts val="0"/>
            </a:spcBef>
            <a:spcAft>
              <a:spcPts val="0"/>
            </a:spcAft>
            <a:buClrTx/>
            <a:buSzTx/>
            <a:buFontTx/>
            <a:buNone/>
            <a:tabLst/>
            <a:defRPr/>
          </a:pPr>
          <a:r>
            <a:rPr lang="en-US" u="none" baseline="0"/>
            <a:t>We see a total of 9 employees working as per this model(5 full-timer, 4 part-timers). However the total daily cost goes up by a considerable amount of $658 because of the hourly rate of full-timers is fixed at $38</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 However the solution seems to have a healthy mix of full-time and part-time employees. This way the bank can also save on the daily cost without compromising on the customer satisfaction.</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sng" baseline="0"/>
            <a:t>With constraints of 67% full-time tellers(sol-4)</a:t>
          </a: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With the contractual obligations with the bank's union that the number of full-time tellers per day should be at least 67% of the total number of full- and part-time tellers per day, increases the daily cost of operations as expected.</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Though this solution has the same number of employees working as in sol-2, the total daily cost goes up to $2030 because of the increased number of full-timers(7 full-timers and 2 part-timers in contrast to 5 full-timers and 4 part-timers in sol-2).</a:t>
          </a:r>
        </a:p>
        <a:p>
          <a:pPr marL="0" marR="0" indent="0" defTabSz="914400" eaLnBrk="1" fontAlgn="auto" latinLnBrk="0" hangingPunct="1">
            <a:lnSpc>
              <a:spcPct val="100000"/>
            </a:lnSpc>
            <a:spcBef>
              <a:spcPts val="0"/>
            </a:spcBef>
            <a:spcAft>
              <a:spcPts val="0"/>
            </a:spcAft>
            <a:buClrTx/>
            <a:buSzTx/>
            <a:buFontTx/>
            <a:buNone/>
            <a:tabLst/>
            <a:defRPr/>
          </a:pPr>
          <a:r>
            <a:rPr lang="en-US" u="none" baseline="0"/>
            <a:t>This presents a good scope to analyze further.</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endParaRPr lang="en-US" u="none"/>
        </a:p>
        <a:p>
          <a:pPr marL="0" marR="0" indent="0" defTabSz="914400" eaLnBrk="1" fontAlgn="auto" latinLnBrk="0" hangingPunct="1">
            <a:lnSpc>
              <a:spcPct val="100000"/>
            </a:lnSpc>
            <a:spcBef>
              <a:spcPts val="0"/>
            </a:spcBef>
            <a:spcAft>
              <a:spcPts val="0"/>
            </a:spcAft>
            <a:buClrTx/>
            <a:buSzTx/>
            <a:buFontTx/>
            <a:buNone/>
            <a:tabLst/>
            <a:defRPr/>
          </a:pPr>
          <a:endParaRPr lang="en-US" sz="1100" u="none"/>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11</xdr:col>
      <xdr:colOff>346074</xdr:colOff>
      <xdr:row>6</xdr:row>
      <xdr:rowOff>44450</xdr:rowOff>
    </xdr:from>
    <xdr:to>
      <xdr:col>21</xdr:col>
      <xdr:colOff>635000</xdr:colOff>
      <xdr:row>25</xdr:row>
      <xdr:rowOff>190500</xdr:rowOff>
    </xdr:to>
    <xdr:graphicFrame macro="">
      <xdr:nvGraphicFramePr>
        <xdr:cNvPr id="2" name="STS_2_Chart">
          <a:extLst>
            <a:ext uri="{FF2B5EF4-FFF2-40B4-BE49-F238E27FC236}">
              <a16:creationId xmlns:a16="http://schemas.microsoft.com/office/drawing/2014/main" id="{3F96AA01-31B3-41FE-8709-FA9F05EE8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447675</xdr:colOff>
      <xdr:row>2</xdr:row>
      <xdr:rowOff>171450</xdr:rowOff>
    </xdr:from>
    <xdr:to>
      <xdr:col>15</xdr:col>
      <xdr:colOff>142875</xdr:colOff>
      <xdr:row>5</xdr:row>
      <xdr:rowOff>85725</xdr:rowOff>
    </xdr:to>
    <xdr:sp macro="" textlink="">
      <xdr:nvSpPr>
        <xdr:cNvPr id="3" name="TextBox 2">
          <a:extLst>
            <a:ext uri="{FF2B5EF4-FFF2-40B4-BE49-F238E27FC236}">
              <a16:creationId xmlns:a16="http://schemas.microsoft.com/office/drawing/2014/main" id="{894E44DE-C949-4463-9719-37ED20E2431F}"/>
            </a:ext>
          </a:extLst>
        </xdr:cNvPr>
        <xdr:cNvSpPr txBox="1"/>
      </xdr:nvSpPr>
      <xdr:spPr>
        <a:xfrm>
          <a:off x="8077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3</xdr:col>
      <xdr:colOff>25400</xdr:colOff>
      <xdr:row>4</xdr:row>
      <xdr:rowOff>25400</xdr:rowOff>
    </xdr:from>
    <xdr:to>
      <xdr:col>10</xdr:col>
      <xdr:colOff>12700</xdr:colOff>
      <xdr:row>30</xdr:row>
      <xdr:rowOff>139700</xdr:rowOff>
    </xdr:to>
    <xdr:sp macro="" textlink="">
      <xdr:nvSpPr>
        <xdr:cNvPr id="22" name="TextBox 21">
          <a:extLst>
            <a:ext uri="{FF2B5EF4-FFF2-40B4-BE49-F238E27FC236}">
              <a16:creationId xmlns:a16="http://schemas.microsoft.com/office/drawing/2014/main" id="{385BD91B-6FDF-994F-91BC-791C4C451A07}"/>
            </a:ext>
          </a:extLst>
        </xdr:cNvPr>
        <xdr:cNvSpPr txBox="1"/>
      </xdr:nvSpPr>
      <xdr:spPr>
        <a:xfrm>
          <a:off x="2146300" y="1104900"/>
          <a:ext cx="4699000" cy="5397500"/>
        </a:xfrm>
        <a:prstGeom prst="rect">
          <a:avLst/>
        </a:prstGeom>
        <a:solidFill>
          <a:schemeClr val="bg2">
            <a:alpha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Objective of the One-way</a:t>
          </a:r>
          <a:r>
            <a:rPr lang="en-US" sz="1100" u="sng" baseline="0"/>
            <a:t> sensitivity analysis:</a:t>
          </a:r>
        </a:p>
        <a:p>
          <a:endParaRPr lang="en-US" sz="1100" u="sng" baseline="0"/>
        </a:p>
        <a:p>
          <a:r>
            <a:rPr lang="en-US" sz="1100" u="none" baseline="0"/>
            <a:t>This one way sensitivity analysis aims at analyzing the impact of contractual</a:t>
          </a:r>
        </a:p>
        <a:p>
          <a:r>
            <a:rPr lang="en-US" sz="1100" u="none" baseline="0"/>
            <a:t>obligations between the union and the management on the daily operating cost of the branch.</a:t>
          </a:r>
        </a:p>
        <a:p>
          <a:endParaRPr lang="en-US" sz="1100" u="none" baseline="0"/>
        </a:p>
        <a:p>
          <a:r>
            <a:rPr lang="en-US" sz="1100" u="none" baseline="0"/>
            <a:t>1. If the number of full-time tellers per day is between 50% to 55% of the total number of full- and part-time tellers per day, the operating cost comes to $1666 per day. This is the same as the solution-3, which had a healthy mix of part-timers and full-timers working daily.</a:t>
          </a:r>
        </a:p>
        <a:p>
          <a:r>
            <a:rPr lang="en-US" sz="1100" u="none" baseline="0"/>
            <a:t>(5-full timers and 4 -part-timers)</a:t>
          </a:r>
        </a:p>
        <a:p>
          <a:endParaRPr lang="en-US" sz="1100" u="none" baseline="0"/>
        </a:p>
        <a:p>
          <a:r>
            <a:rPr lang="en-US" sz="1100" u="none" baseline="0"/>
            <a:t>2. If the number of full-time tellers per day is between 56% to 66% of the total number of full- and part-time tellers per day, the operating cost is still lower than the current solution-4 cost.</a:t>
          </a:r>
        </a:p>
        <a:p>
          <a:endParaRPr lang="en-US" sz="1100" u="none" baseline="0"/>
        </a:p>
        <a:p>
          <a:r>
            <a:rPr lang="en-US" sz="1100" u="none" baseline="0"/>
            <a:t>3. If the number of full-time tellers per day is between 67% to 77% of the total number of full- and part-time tellers per day, the cost remains at $2030.</a:t>
          </a:r>
        </a:p>
        <a:p>
          <a:endParaRPr lang="en-US" sz="1100" u="none" baseline="0"/>
        </a:p>
        <a:p>
          <a:r>
            <a:rPr lang="en-US" sz="1100" u="none" baseline="0"/>
            <a:t>4. This analysis will be handy for the management to negotiate with the union. For example, the management could agree to another want of the union in return for reducing the minimum percentage of full-time exployees to 66%, as long the cost benefit makes sense. Similarly, if the union requests increasing this minimum value to 78%, the management can negotiate to get something else from the union that would reduce the daily operating expense by roughly $188 ($2,212 - $2,030) to make it a win-win for both parties.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161637</xdr:colOff>
      <xdr:row>30</xdr:row>
      <xdr:rowOff>80817</xdr:rowOff>
    </xdr:from>
    <xdr:to>
      <xdr:col>15</xdr:col>
      <xdr:colOff>727365</xdr:colOff>
      <xdr:row>51</xdr:row>
      <xdr:rowOff>34636</xdr:rowOff>
    </xdr:to>
    <xdr:sp macro="" textlink="">
      <xdr:nvSpPr>
        <xdr:cNvPr id="2" name="TextBox 1">
          <a:extLst>
            <a:ext uri="{FF2B5EF4-FFF2-40B4-BE49-F238E27FC236}">
              <a16:creationId xmlns:a16="http://schemas.microsoft.com/office/drawing/2014/main" id="{68B5A137-C363-44BC-9243-E97A4F163788}"/>
            </a:ext>
          </a:extLst>
        </xdr:cNvPr>
        <xdr:cNvSpPr txBox="1"/>
      </xdr:nvSpPr>
      <xdr:spPr>
        <a:xfrm>
          <a:off x="7362537" y="7081692"/>
          <a:ext cx="7652328" cy="4173394"/>
        </a:xfrm>
        <a:prstGeom prst="rect">
          <a:avLst/>
        </a:prstGeom>
        <a:solidFill>
          <a:schemeClr val="bg2">
            <a:lumMod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Clr>
              <a:schemeClr val="tx1"/>
            </a:buClr>
            <a:buFontTx/>
            <a:buNone/>
          </a:pPr>
          <a:r>
            <a:rPr lang="en-US" sz="1100" u="sng" baseline="0"/>
            <a:t>Objective function:</a:t>
          </a:r>
        </a:p>
        <a:p>
          <a:pPr marL="0" indent="0">
            <a:buClr>
              <a:schemeClr val="tx1"/>
            </a:buClr>
            <a:buFontTx/>
            <a:buNone/>
          </a:pPr>
          <a:r>
            <a:rPr lang="en-US" sz="1100" u="none" baseline="0"/>
            <a:t>With the optimal schedule based on the model with the given constraints on the number of tellers for each hour of the working day and the number of full-time employees(hourly and daily)  and the additional constraint of the number of full-time tellers per day should be at least 67% of the total number of full- and part-time tellers per day the minimal cost to run the branch comes to $2030.</a:t>
          </a:r>
        </a:p>
        <a:p>
          <a:pPr marL="0" indent="0">
            <a:buClr>
              <a:schemeClr val="tx1"/>
            </a:buClr>
            <a:buFontTx/>
            <a:buNone/>
          </a:pPr>
          <a:r>
            <a:rPr lang="en-US" sz="1100" u="sng" baseline="0"/>
            <a:t>Constraints:</a:t>
          </a:r>
          <a:endParaRPr lang="en-US" sz="1100" u="none" baseline="0"/>
        </a:p>
        <a:p>
          <a:pPr marL="0" indent="0">
            <a:buClr>
              <a:schemeClr val="tx1"/>
            </a:buClr>
            <a:buFontTx/>
            <a:buNone/>
          </a:pPr>
          <a:r>
            <a:rPr lang="en-US" sz="1100" u="none" baseline="0"/>
            <a:t>The constraints apply to the number of tellers to be present to help the customers during each hour of the working day and the nature of the employee(full-time or part-time)</a:t>
          </a:r>
        </a:p>
        <a:p>
          <a:pPr marL="0" indent="0">
            <a:buClr>
              <a:schemeClr val="tx1"/>
            </a:buClr>
            <a:buFontTx/>
            <a:buNone/>
          </a:pPr>
          <a:endParaRPr lang="en-US" sz="1100" u="none" baseline="0"/>
        </a:p>
        <a:p>
          <a:pPr marL="0" indent="0">
            <a:buClr>
              <a:schemeClr val="tx1"/>
            </a:buClr>
            <a:buFontTx/>
            <a:buNone/>
          </a:pPr>
          <a:r>
            <a:rPr lang="en-US" sz="1100" u="none" baseline="0"/>
            <a:t>In addition to the existing constraints, the new constraints ensure that at least 2 full-time tellers are present throughout the day and also that at least 5 full-time employees work on a daily basis.</a:t>
          </a:r>
        </a:p>
        <a:p>
          <a:pPr marL="0" indent="0">
            <a:buClr>
              <a:schemeClr val="tx1"/>
            </a:buClr>
            <a:buFontTx/>
            <a:buNone/>
          </a:pPr>
          <a:endParaRPr lang="en-US" sz="1100" u="none" baseline="0"/>
        </a:p>
        <a:p>
          <a:pPr marL="0" indent="0">
            <a:buClr>
              <a:schemeClr val="tx1"/>
            </a:buClr>
            <a:buFontTx/>
            <a:buNone/>
          </a:pPr>
          <a:r>
            <a:rPr lang="en-US" sz="1100" u="none" baseline="0"/>
            <a:t>Also, the constractual obligations with the Bank union ensures that the number of full-time tellers per day should be at least 67% of the total number of full- and part-time tellers per day</a:t>
          </a:r>
        </a:p>
        <a:p>
          <a:pPr marL="0" indent="0">
            <a:buClr>
              <a:schemeClr val="tx1"/>
            </a:buClr>
            <a:buFontTx/>
            <a:buNone/>
          </a:pPr>
          <a:endParaRPr lang="en-US" sz="1100" u="none" baseline="0"/>
        </a:p>
        <a:p>
          <a:pPr marL="0" indent="0">
            <a:buClr>
              <a:schemeClr val="tx1"/>
            </a:buClr>
            <a:buFontTx/>
            <a:buNone/>
          </a:pPr>
          <a:r>
            <a:rPr lang="en-US" sz="1100" u="sng" baseline="0"/>
            <a:t>Optimal schedule:</a:t>
          </a:r>
        </a:p>
        <a:p>
          <a:pPr marL="0" indent="0">
            <a:buClr>
              <a:schemeClr val="tx1"/>
            </a:buClr>
            <a:buFontTx/>
            <a:buNone/>
          </a:pPr>
          <a:r>
            <a:rPr lang="en-US" sz="1100" u="none" baseline="0"/>
            <a:t>The model recommends 2 full-time tellers starting at 9am and 10 am, 3 full-time tellers starting at 11am to fulfil the hourly and daily constraints on the full-time tellers. </a:t>
          </a:r>
        </a:p>
        <a:p>
          <a:pPr marL="0" indent="0">
            <a:buClr>
              <a:schemeClr val="tx1"/>
            </a:buClr>
            <a:buFontTx/>
            <a:buNone/>
          </a:pPr>
          <a:r>
            <a:rPr lang="en-US" sz="1100" u="none" baseline="0"/>
            <a:t>Additionally the model prescribes that 2 part-timers start at 9 am to meet the opening hour needs between 9am and 10am.</a:t>
          </a:r>
        </a:p>
        <a:p>
          <a:pPr marL="0" indent="0">
            <a:buClr>
              <a:schemeClr val="tx1"/>
            </a:buClr>
            <a:buFontTx/>
            <a:buNone/>
          </a:pPr>
          <a:endParaRPr lang="en-US" sz="1100" u="none" baseline="0"/>
        </a:p>
        <a:p>
          <a:pPr marL="0" indent="0">
            <a:buClr>
              <a:schemeClr val="tx1"/>
            </a:buClr>
            <a:buFontTx/>
            <a:buNone/>
          </a:pPr>
          <a:r>
            <a:rPr lang="en-US" sz="1100" u="sng" baseline="0"/>
            <a:t>Comments on the solution:</a:t>
          </a:r>
        </a:p>
        <a:p>
          <a:pPr marL="0" indent="0">
            <a:buClr>
              <a:schemeClr val="tx1"/>
            </a:buClr>
            <a:buFontTx/>
            <a:buNone/>
          </a:pPr>
          <a:r>
            <a:rPr lang="en-US" sz="1100" u="none" baseline="0"/>
            <a:t>With all the cobstraints and constractual obligations in place, the model is made to prioritize the full-time tellers and fill the excess need with the part-time tellers.</a:t>
          </a:r>
        </a:p>
        <a:p>
          <a:pPr marL="0" indent="0">
            <a:buClr>
              <a:schemeClr val="tx1"/>
            </a:buClr>
            <a:buFontTx/>
            <a:buNone/>
          </a:pPr>
          <a:endParaRPr lang="en-US" sz="1100" u="none" baseline="0"/>
        </a:p>
        <a:p>
          <a:pPr marL="0" indent="0">
            <a:buClr>
              <a:schemeClr val="tx1"/>
            </a:buClr>
            <a:buFontTx/>
            <a:buNone/>
          </a:pPr>
          <a:r>
            <a:rPr lang="en-US" sz="1100" u="none" baseline="0"/>
            <a:t>As expected, the daily running cost of the branch increases to $2030 as we are employing more full-timers in constrast to the first suggested model with only part-time tellers.</a:t>
          </a:r>
        </a:p>
      </xdr:txBody>
    </xdr:sp>
    <xdr:clientData/>
  </xdr:twoCellAnchor>
  <xdr:twoCellAnchor>
    <xdr:from>
      <xdr:col>6</xdr:col>
      <xdr:colOff>178593</xdr:colOff>
      <xdr:row>70</xdr:row>
      <xdr:rowOff>46181</xdr:rowOff>
    </xdr:from>
    <xdr:to>
      <xdr:col>11</xdr:col>
      <xdr:colOff>238125</xdr:colOff>
      <xdr:row>97</xdr:row>
      <xdr:rowOff>11906</xdr:rowOff>
    </xdr:to>
    <xdr:sp macro="" textlink="">
      <xdr:nvSpPr>
        <xdr:cNvPr id="3" name="TextBox 2">
          <a:extLst>
            <a:ext uri="{FF2B5EF4-FFF2-40B4-BE49-F238E27FC236}">
              <a16:creationId xmlns:a16="http://schemas.microsoft.com/office/drawing/2014/main" id="{04DC14D4-4FA8-4227-BA95-015C036E1B49}"/>
            </a:ext>
          </a:extLst>
        </xdr:cNvPr>
        <xdr:cNvSpPr txBox="1"/>
      </xdr:nvSpPr>
      <xdr:spPr>
        <a:xfrm>
          <a:off x="7379493" y="15991031"/>
          <a:ext cx="4174332" cy="5366400"/>
        </a:xfrm>
        <a:prstGeom prst="rect">
          <a:avLst/>
        </a:prstGeom>
        <a:solidFill>
          <a:schemeClr val="bg2">
            <a:lumMod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Comparison</a:t>
          </a:r>
          <a:r>
            <a:rPr lang="en-US" sz="1100" u="sng" baseline="0"/>
            <a:t> of solutions:</a:t>
          </a:r>
        </a:p>
        <a:p>
          <a:endParaRPr lang="en-US" sz="1100" u="sng" baseline="0"/>
        </a:p>
        <a:p>
          <a:pPr marL="0" marR="0" indent="0" defTabSz="914400" eaLnBrk="1" fontAlgn="auto" latinLnBrk="0" hangingPunct="1">
            <a:lnSpc>
              <a:spcPct val="100000"/>
            </a:lnSpc>
            <a:spcBef>
              <a:spcPts val="0"/>
            </a:spcBef>
            <a:spcAft>
              <a:spcPts val="0"/>
            </a:spcAft>
            <a:buClrTx/>
            <a:buSzTx/>
            <a:buFontTx/>
            <a:buNone/>
            <a:tabLst/>
            <a:defRPr/>
          </a:pPr>
          <a:r>
            <a:rPr lang="en-US" sz="1100" b="0" i="0" u="sng" strike="noStrike">
              <a:solidFill>
                <a:schemeClr val="dk1"/>
              </a:solidFill>
              <a:effectLst/>
              <a:latin typeface="+mn-lt"/>
              <a:ea typeface="+mn-ea"/>
              <a:cs typeface="+mn-cs"/>
            </a:rPr>
            <a:t>With no constraints</a:t>
          </a:r>
          <a:r>
            <a:rPr lang="en-US" sz="1100" b="0" i="0" u="sng" strike="noStrike" baseline="0">
              <a:solidFill>
                <a:schemeClr val="dk1"/>
              </a:solidFill>
              <a:effectLst/>
              <a:latin typeface="+mn-lt"/>
              <a:ea typeface="+mn-ea"/>
              <a:cs typeface="+mn-cs"/>
            </a:rPr>
            <a:t> </a:t>
          </a:r>
          <a:r>
            <a:rPr lang="en-US" sz="1100" b="0" i="0" u="sng" strike="noStrike">
              <a:solidFill>
                <a:schemeClr val="dk1"/>
              </a:solidFill>
              <a:effectLst/>
              <a:latin typeface="+mn-lt"/>
              <a:ea typeface="+mn-ea"/>
              <a:cs typeface="+mn-cs"/>
            </a:rPr>
            <a:t>on the part-time/full-time tellers(sol-2)</a:t>
          </a:r>
          <a:r>
            <a:rPr lang="en-US" u="sng"/>
            <a:t> </a:t>
          </a:r>
        </a:p>
        <a:p>
          <a:pPr marL="0" marR="0" indent="0" defTabSz="914400" eaLnBrk="1" fontAlgn="auto" latinLnBrk="0" hangingPunct="1">
            <a:lnSpc>
              <a:spcPct val="100000"/>
            </a:lnSpc>
            <a:spcBef>
              <a:spcPts val="0"/>
            </a:spcBef>
            <a:spcAft>
              <a:spcPts val="0"/>
            </a:spcAft>
            <a:buClrTx/>
            <a:buSzTx/>
            <a:buFontTx/>
            <a:buNone/>
            <a:tabLst/>
            <a:defRPr/>
          </a:pPr>
          <a:r>
            <a:rPr lang="en-US" u="none"/>
            <a:t>We see a total of 12 employees working in this model. This is because they</a:t>
          </a:r>
          <a:r>
            <a:rPr lang="en-US" u="none" baseline="0"/>
            <a:t> are all part-timers working 4 hours each. Hence the increased number to cover the whole day.</a:t>
          </a:r>
        </a:p>
        <a:p>
          <a:pPr marL="0" marR="0" indent="0" defTabSz="914400" eaLnBrk="1" fontAlgn="auto" latinLnBrk="0" hangingPunct="1">
            <a:lnSpc>
              <a:spcPct val="100000"/>
            </a:lnSpc>
            <a:spcBef>
              <a:spcPts val="0"/>
            </a:spcBef>
            <a:spcAft>
              <a:spcPts val="0"/>
            </a:spcAft>
            <a:buClrTx/>
            <a:buSzTx/>
            <a:buFontTx/>
            <a:buNone/>
            <a:tabLst/>
            <a:defRPr/>
          </a:pPr>
          <a:endParaRPr lang="en-US" u="none"/>
        </a:p>
        <a:p>
          <a:pPr marL="0" marR="0" indent="0" defTabSz="914400" eaLnBrk="1" fontAlgn="auto" latinLnBrk="0" hangingPunct="1">
            <a:lnSpc>
              <a:spcPct val="100000"/>
            </a:lnSpc>
            <a:spcBef>
              <a:spcPts val="0"/>
            </a:spcBef>
            <a:spcAft>
              <a:spcPts val="0"/>
            </a:spcAft>
            <a:buClrTx/>
            <a:buSzTx/>
            <a:buFontTx/>
            <a:buNone/>
            <a:tabLst/>
            <a:defRPr/>
          </a:pPr>
          <a:r>
            <a:rPr lang="en-US" u="none" baseline="0"/>
            <a:t> cost-wise this is the most optimal solution because of the $21 per hour rate which is cheaper than what is being paid to full-timers.</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However,there is a chance of customer service and satisfaction being impacted because the work force is entirely made of part-time employees.</a:t>
          </a:r>
        </a:p>
        <a:p>
          <a:pPr marL="0" marR="0" indent="0" defTabSz="914400" eaLnBrk="1" fontAlgn="auto" latinLnBrk="0" hangingPunct="1">
            <a:lnSpc>
              <a:spcPct val="100000"/>
            </a:lnSpc>
            <a:spcBef>
              <a:spcPts val="0"/>
            </a:spcBef>
            <a:spcAft>
              <a:spcPts val="0"/>
            </a:spcAft>
            <a:buClrTx/>
            <a:buSzTx/>
            <a:buFontTx/>
            <a:buNone/>
            <a:tabLst/>
            <a:defRPr/>
          </a:pPr>
          <a:r>
            <a:rPr lang="en-US" u="none" baseline="0"/>
            <a:t>Continuity and familiarity play a vital role for businesses. Hence this is not a feasible solution if the bank is particular about customer satisfaction.</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sng" baseline="0"/>
            <a:t>With constraints on the part-time/full-time tellers(sol-3)</a:t>
          </a:r>
        </a:p>
        <a:p>
          <a:pPr marL="0" marR="0" indent="0" defTabSz="914400" eaLnBrk="1" fontAlgn="auto" latinLnBrk="0" hangingPunct="1">
            <a:lnSpc>
              <a:spcPct val="100000"/>
            </a:lnSpc>
            <a:spcBef>
              <a:spcPts val="0"/>
            </a:spcBef>
            <a:spcAft>
              <a:spcPts val="0"/>
            </a:spcAft>
            <a:buClrTx/>
            <a:buSzTx/>
            <a:buFontTx/>
            <a:buNone/>
            <a:tabLst/>
            <a:defRPr/>
          </a:pPr>
          <a:r>
            <a:rPr lang="en-US" u="none" baseline="0"/>
            <a:t>We see a total of 9 employees working as per this model(5 full-timer, 4 part-timers). However the total daily cost goes up by a considerable amount of $658 because of the hourly rate of full-timers is fixed at $38</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 However the solution seems to have a healthy mix of full-time and part-time employees. This way the bank can also save on the daily cost without compromising on the customer satisfaction.</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sng" baseline="0"/>
            <a:t>With constraints of 67% full-time tellers(sol-4)</a:t>
          </a: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With the contractual obligations with the bank's union that the number of full-time tellers per day should be at least 67% of the total number of full- and part-time tellers per day, increases the daily cost of operations as expected.</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r>
            <a:rPr lang="en-US" u="none" baseline="0"/>
            <a:t>Though this solution has the same number of employees working as in sol-2, the total daily cost goes up to $2030 because of the increased number of full-timers(7 full-timers and 2 part-timers in contrast to 5 full-timers and 4 part-timers in sol-2).</a:t>
          </a:r>
        </a:p>
        <a:p>
          <a:pPr marL="0" marR="0" indent="0" defTabSz="914400" eaLnBrk="1" fontAlgn="auto" latinLnBrk="0" hangingPunct="1">
            <a:lnSpc>
              <a:spcPct val="100000"/>
            </a:lnSpc>
            <a:spcBef>
              <a:spcPts val="0"/>
            </a:spcBef>
            <a:spcAft>
              <a:spcPts val="0"/>
            </a:spcAft>
            <a:buClrTx/>
            <a:buSzTx/>
            <a:buFontTx/>
            <a:buNone/>
            <a:tabLst/>
            <a:defRPr/>
          </a:pPr>
          <a:r>
            <a:rPr lang="en-US" u="none" baseline="0"/>
            <a:t>This presents a good scope to analyze further.</a:t>
          </a:r>
        </a:p>
        <a:p>
          <a:pPr marL="0" marR="0" indent="0" defTabSz="914400" eaLnBrk="1" fontAlgn="auto" latinLnBrk="0" hangingPunct="1">
            <a:lnSpc>
              <a:spcPct val="100000"/>
            </a:lnSpc>
            <a:spcBef>
              <a:spcPts val="0"/>
            </a:spcBef>
            <a:spcAft>
              <a:spcPts val="0"/>
            </a:spcAft>
            <a:buClrTx/>
            <a:buSzTx/>
            <a:buFontTx/>
            <a:buNone/>
            <a:tabLst/>
            <a:defRPr/>
          </a:pPr>
          <a:endParaRPr lang="en-US" u="none" baseline="0"/>
        </a:p>
        <a:p>
          <a:pPr marL="0" marR="0" indent="0" defTabSz="914400" eaLnBrk="1" fontAlgn="auto" latinLnBrk="0" hangingPunct="1">
            <a:lnSpc>
              <a:spcPct val="100000"/>
            </a:lnSpc>
            <a:spcBef>
              <a:spcPts val="0"/>
            </a:spcBef>
            <a:spcAft>
              <a:spcPts val="0"/>
            </a:spcAft>
            <a:buClrTx/>
            <a:buSzTx/>
            <a:buFontTx/>
            <a:buNone/>
            <a:tabLst/>
            <a:defRPr/>
          </a:pPr>
          <a:endParaRPr lang="en-US" u="none"/>
        </a:p>
        <a:p>
          <a:pPr marL="0" marR="0" indent="0" defTabSz="914400" eaLnBrk="1" fontAlgn="auto" latinLnBrk="0" hangingPunct="1">
            <a:lnSpc>
              <a:spcPct val="100000"/>
            </a:lnSpc>
            <a:spcBef>
              <a:spcPts val="0"/>
            </a:spcBef>
            <a:spcAft>
              <a:spcPts val="0"/>
            </a:spcAft>
            <a:buClrTx/>
            <a:buSzTx/>
            <a:buFontTx/>
            <a:buNone/>
            <a:tabLst/>
            <a:defRPr/>
          </a:pPr>
          <a:endParaRPr lang="en-US" sz="1100" u="none"/>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317500</xdr:colOff>
      <xdr:row>31</xdr:row>
      <xdr:rowOff>66675</xdr:rowOff>
    </xdr:from>
    <xdr:to>
      <xdr:col>13</xdr:col>
      <xdr:colOff>457200</xdr:colOff>
      <xdr:row>43</xdr:row>
      <xdr:rowOff>165100</xdr:rowOff>
    </xdr:to>
    <xdr:graphicFrame macro="">
      <xdr:nvGraphicFramePr>
        <xdr:cNvPr id="2" name="STS_1_Chart1">
          <a:extLst>
            <a:ext uri="{FF2B5EF4-FFF2-40B4-BE49-F238E27FC236}">
              <a16:creationId xmlns:a16="http://schemas.microsoft.com/office/drawing/2014/main" id="{B740711D-276F-4065-B805-B00B45320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127000</xdr:colOff>
      <xdr:row>14</xdr:row>
      <xdr:rowOff>3175</xdr:rowOff>
    </xdr:from>
    <xdr:to>
      <xdr:col>14</xdr:col>
      <xdr:colOff>0</xdr:colOff>
      <xdr:row>26</xdr:row>
      <xdr:rowOff>139700</xdr:rowOff>
    </xdr:to>
    <xdr:graphicFrame macro="">
      <xdr:nvGraphicFramePr>
        <xdr:cNvPr id="3" name="STS_1_Chart2">
          <a:extLst>
            <a:ext uri="{FF2B5EF4-FFF2-40B4-BE49-F238E27FC236}">
              <a16:creationId xmlns:a16="http://schemas.microsoft.com/office/drawing/2014/main" id="{A5CB8072-C703-4468-916C-5597235F3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381000</xdr:colOff>
      <xdr:row>2</xdr:row>
      <xdr:rowOff>171450</xdr:rowOff>
    </xdr:from>
    <xdr:to>
      <xdr:col>22</xdr:col>
      <xdr:colOff>609600</xdr:colOff>
      <xdr:row>8</xdr:row>
      <xdr:rowOff>47625</xdr:rowOff>
    </xdr:to>
    <xdr:sp macro="" textlink="">
      <xdr:nvSpPr>
        <xdr:cNvPr id="4" name="TextBox 3">
          <a:extLst>
            <a:ext uri="{FF2B5EF4-FFF2-40B4-BE49-F238E27FC236}">
              <a16:creationId xmlns:a16="http://schemas.microsoft.com/office/drawing/2014/main" id="{60CE3940-2050-4924-B864-0AE9761102E6}"/>
            </a:ext>
          </a:extLst>
        </xdr:cNvPr>
        <xdr:cNvSpPr txBox="1"/>
      </xdr:nvSpPr>
      <xdr:spPr>
        <a:xfrm>
          <a:off x="11811000"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$K$4, $L$4, $O$4, and $P$4, you can chart any row (in left chart) or column (in right chart) of any table to the left.</a:t>
          </a:r>
        </a:p>
      </xdr:txBody>
    </xdr:sp>
    <xdr:clientData/>
  </xdr:twoCellAnchor>
  <xdr:twoCellAnchor>
    <xdr:from>
      <xdr:col>15</xdr:col>
      <xdr:colOff>381000</xdr:colOff>
      <xdr:row>9</xdr:row>
      <xdr:rowOff>12700</xdr:rowOff>
    </xdr:from>
    <xdr:to>
      <xdr:col>25</xdr:col>
      <xdr:colOff>381000</xdr:colOff>
      <xdr:row>27</xdr:row>
      <xdr:rowOff>0</xdr:rowOff>
    </xdr:to>
    <xdr:sp macro="" textlink="">
      <xdr:nvSpPr>
        <xdr:cNvPr id="23" name="TextBox 22">
          <a:extLst>
            <a:ext uri="{FF2B5EF4-FFF2-40B4-BE49-F238E27FC236}">
              <a16:creationId xmlns:a16="http://schemas.microsoft.com/office/drawing/2014/main" id="{5A15A99D-5830-9C49-9DED-BDDE16089F8B}"/>
            </a:ext>
          </a:extLst>
        </xdr:cNvPr>
        <xdr:cNvSpPr txBox="1"/>
      </xdr:nvSpPr>
      <xdr:spPr>
        <a:xfrm>
          <a:off x="10261600" y="2108200"/>
          <a:ext cx="6731000" cy="36449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Objective of the two-way sensitivity</a:t>
          </a:r>
          <a:r>
            <a:rPr lang="en-US" sz="1100" u="sng" baseline="0"/>
            <a:t> analysis:</a:t>
          </a:r>
        </a:p>
        <a:p>
          <a:endParaRPr lang="en-US" sz="1100" u="sng" baseline="0"/>
        </a:p>
        <a:p>
          <a:r>
            <a:rPr lang="en-US" sz="1100" u="none" baseline="0"/>
            <a:t>The objective of this two-way analysis is to analyze the impact of the hourly rates of the part-time and full-time employees on the number of part-timers and full-timers used in aworking day. </a:t>
          </a:r>
        </a:p>
        <a:p>
          <a:endParaRPr lang="en-US" sz="1100" u="none" baseline="0"/>
        </a:p>
        <a:p>
          <a:r>
            <a:rPr lang="en-US" sz="1100" u="sng" baseline="0"/>
            <a:t>Observations:</a:t>
          </a:r>
        </a:p>
        <a:p>
          <a:endParaRPr lang="en-US" sz="1100" u="none" baseline="0"/>
        </a:p>
        <a:p>
          <a:r>
            <a:rPr lang="en-US" sz="1100" u="none" baseline="0"/>
            <a:t>1. The solution appears to be very robust and remains unaffected by minor increases or decreases to the full-time and part-time employee rates. </a:t>
          </a:r>
        </a:p>
        <a:p>
          <a:endParaRPr lang="en-US" sz="1100" u="none" baseline="0"/>
        </a:p>
        <a:p>
          <a:r>
            <a:rPr lang="en-US" sz="1100" u="none" baseline="0"/>
            <a:t>2. Only under an extreme scenario of very high part-time rates and very low full-time rates, the total number of full-time employees engaged will go above the minimum union requirement of 67%. While it appears unlikely today, a disruption in the banking industry could result in an increasing need for tech-savvy tellers and could translate to a high hourly rate. </a:t>
          </a:r>
        </a:p>
        <a:p>
          <a:endParaRPr lang="en-US" sz="1100" u="none" baseline="0"/>
        </a:p>
        <a:p>
          <a:r>
            <a:rPr lang="en-US" sz="1100" u="none" baseline="0"/>
            <a:t>3. Under such a scenario, if the full-time employee rates become as low as $30 per hour and the part time employee rates increase to $53 or more, the model recommends hiring all full timers. Similarly, if the full time employees rates fall to $32 per hour and the part time employees rates increase to $57 or more, the model recommends replacing the part time employees with full time employees.  </a:t>
          </a:r>
        </a:p>
        <a:p>
          <a:endParaRPr lang="en-US" sz="1100" u="none" baseline="0"/>
        </a:p>
        <a:p>
          <a:endParaRPr lang="en-US" sz="1100" u="none" baseline="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40E2-6311-7449-A205-2C85A96B2E1A}">
  <dimension ref="A2:V39"/>
  <sheetViews>
    <sheetView tabSelected="1" topLeftCell="A9" workbookViewId="0">
      <selection activeCell="J60" sqref="J60"/>
    </sheetView>
  </sheetViews>
  <sheetFormatPr baseColWidth="10" defaultColWidth="11" defaultRowHeight="16"/>
  <cols>
    <col min="5" max="5" width="9.5" customWidth="1"/>
    <col min="6" max="6" width="30.33203125" customWidth="1"/>
    <col min="7" max="7" width="6.1640625" customWidth="1"/>
    <col min="17" max="17" width="10.83203125" customWidth="1"/>
    <col min="18" max="18" width="3.6640625" customWidth="1"/>
  </cols>
  <sheetData>
    <row r="2" spans="1:17" ht="19">
      <c r="A2" s="10" t="s">
        <v>59</v>
      </c>
      <c r="B2" s="10"/>
      <c r="C2" s="10"/>
      <c r="D2" s="10"/>
      <c r="E2" s="10"/>
      <c r="F2" s="10"/>
      <c r="G2" s="10"/>
      <c r="H2" s="10"/>
      <c r="I2" s="10"/>
      <c r="J2" s="10"/>
      <c r="K2" s="10"/>
      <c r="L2" s="10"/>
      <c r="M2" s="11"/>
      <c r="N2" s="11"/>
    </row>
    <row r="4" spans="1:17" ht="19">
      <c r="A4" s="12" t="s">
        <v>60</v>
      </c>
    </row>
    <row r="5" spans="1:17" ht="17" thickBot="1"/>
    <row r="6" spans="1:17" ht="20" thickBot="1">
      <c r="A6" s="189" t="s">
        <v>61</v>
      </c>
      <c r="B6" s="189"/>
      <c r="H6" s="194" t="s">
        <v>76</v>
      </c>
      <c r="I6" s="195"/>
      <c r="J6" s="195"/>
      <c r="K6" s="195"/>
      <c r="L6" s="195"/>
      <c r="M6" s="195"/>
      <c r="N6" s="195"/>
      <c r="O6" s="195"/>
      <c r="P6" s="195"/>
      <c r="Q6" s="196"/>
    </row>
    <row r="7" spans="1:17" ht="17" thickBot="1">
      <c r="B7" s="186" t="s">
        <v>62</v>
      </c>
      <c r="C7" s="187"/>
      <c r="D7" s="187"/>
      <c r="E7" s="188"/>
      <c r="F7" s="51" t="s">
        <v>63</v>
      </c>
      <c r="H7" s="19" t="s">
        <v>37</v>
      </c>
      <c r="I7" s="19" t="s">
        <v>38</v>
      </c>
      <c r="J7" s="19" t="s">
        <v>39</v>
      </c>
      <c r="K7" s="19" t="s">
        <v>40</v>
      </c>
      <c r="L7" s="19" t="s">
        <v>41</v>
      </c>
      <c r="M7" s="19" t="s">
        <v>42</v>
      </c>
      <c r="N7" s="19" t="s">
        <v>43</v>
      </c>
      <c r="O7" s="19" t="s">
        <v>44</v>
      </c>
      <c r="P7" s="19" t="s">
        <v>45</v>
      </c>
      <c r="Q7" s="19" t="s">
        <v>46</v>
      </c>
    </row>
    <row r="8" spans="1:17">
      <c r="B8" s="190" t="s">
        <v>17</v>
      </c>
      <c r="C8" s="191"/>
      <c r="D8" s="191"/>
      <c r="E8" s="191"/>
      <c r="F8" s="24" t="s">
        <v>64</v>
      </c>
      <c r="H8" s="20" t="s">
        <v>77</v>
      </c>
      <c r="I8" s="21" t="s">
        <v>77</v>
      </c>
      <c r="J8" s="21" t="s">
        <v>77</v>
      </c>
      <c r="K8" s="21" t="s">
        <v>77</v>
      </c>
      <c r="L8" s="22" t="s">
        <v>87</v>
      </c>
      <c r="M8" s="21" t="s">
        <v>77</v>
      </c>
      <c r="N8" s="21" t="s">
        <v>77</v>
      </c>
      <c r="O8" s="21" t="s">
        <v>77</v>
      </c>
      <c r="P8" s="23"/>
      <c r="Q8" s="24"/>
    </row>
    <row r="9" spans="1:17">
      <c r="B9" s="184" t="s">
        <v>18</v>
      </c>
      <c r="C9" s="185"/>
      <c r="D9" s="185"/>
      <c r="E9" s="185"/>
      <c r="F9" s="28" t="s">
        <v>65</v>
      </c>
      <c r="H9" s="25"/>
      <c r="I9" s="26" t="s">
        <v>78</v>
      </c>
      <c r="J9" s="26" t="s">
        <v>78</v>
      </c>
      <c r="K9" s="26" t="s">
        <v>78</v>
      </c>
      <c r="L9" s="26" t="s">
        <v>78</v>
      </c>
      <c r="M9" s="27" t="s">
        <v>88</v>
      </c>
      <c r="N9" s="26" t="s">
        <v>78</v>
      </c>
      <c r="O9" s="26" t="s">
        <v>78</v>
      </c>
      <c r="P9" s="26" t="s">
        <v>78</v>
      </c>
      <c r="Q9" s="28"/>
    </row>
    <row r="10" spans="1:17">
      <c r="B10" s="184" t="s">
        <v>19</v>
      </c>
      <c r="C10" s="185"/>
      <c r="D10" s="185"/>
      <c r="E10" s="185"/>
      <c r="F10" s="28" t="s">
        <v>66</v>
      </c>
      <c r="H10" s="25"/>
      <c r="I10" s="5"/>
      <c r="J10" s="26" t="s">
        <v>79</v>
      </c>
      <c r="K10" s="26" t="s">
        <v>79</v>
      </c>
      <c r="L10" s="26" t="s">
        <v>79</v>
      </c>
      <c r="M10" s="26" t="s">
        <v>79</v>
      </c>
      <c r="N10" s="27" t="s">
        <v>89</v>
      </c>
      <c r="O10" s="26" t="s">
        <v>79</v>
      </c>
      <c r="P10" s="26" t="s">
        <v>79</v>
      </c>
      <c r="Q10" s="29" t="s">
        <v>79</v>
      </c>
    </row>
    <row r="11" spans="1:17">
      <c r="B11" s="184" t="s">
        <v>20</v>
      </c>
      <c r="C11" s="185"/>
      <c r="D11" s="185"/>
      <c r="E11" s="185"/>
      <c r="F11" s="28" t="s">
        <v>67</v>
      </c>
      <c r="H11" s="30" t="s">
        <v>80</v>
      </c>
      <c r="I11" s="31" t="s">
        <v>80</v>
      </c>
      <c r="J11" s="31" t="s">
        <v>80</v>
      </c>
      <c r="K11" s="31" t="s">
        <v>80</v>
      </c>
      <c r="L11" s="5"/>
      <c r="M11" s="5"/>
      <c r="N11" s="5"/>
      <c r="O11" s="5"/>
      <c r="P11" s="5"/>
      <c r="Q11" s="28"/>
    </row>
    <row r="12" spans="1:17">
      <c r="B12" s="184" t="s">
        <v>21</v>
      </c>
      <c r="C12" s="185"/>
      <c r="D12" s="185"/>
      <c r="E12" s="185"/>
      <c r="F12" s="28" t="s">
        <v>68</v>
      </c>
      <c r="H12" s="25"/>
      <c r="I12" s="31" t="s">
        <v>81</v>
      </c>
      <c r="J12" s="31" t="s">
        <v>81</v>
      </c>
      <c r="K12" s="31" t="s">
        <v>81</v>
      </c>
      <c r="L12" s="31" t="s">
        <v>81</v>
      </c>
      <c r="M12" s="5"/>
      <c r="N12" s="5"/>
      <c r="O12" s="5"/>
      <c r="P12" s="5"/>
      <c r="Q12" s="28"/>
    </row>
    <row r="13" spans="1:17">
      <c r="B13" s="184" t="s">
        <v>22</v>
      </c>
      <c r="C13" s="185"/>
      <c r="D13" s="185"/>
      <c r="E13" s="185"/>
      <c r="F13" s="28" t="s">
        <v>69</v>
      </c>
      <c r="H13" s="25"/>
      <c r="I13" s="5"/>
      <c r="J13" s="31" t="s">
        <v>82</v>
      </c>
      <c r="K13" s="31" t="s">
        <v>82</v>
      </c>
      <c r="L13" s="31" t="s">
        <v>82</v>
      </c>
      <c r="M13" s="31" t="s">
        <v>82</v>
      </c>
      <c r="N13" s="5"/>
      <c r="O13" s="5"/>
      <c r="P13" s="5"/>
      <c r="Q13" s="28"/>
    </row>
    <row r="14" spans="1:17">
      <c r="B14" s="184" t="s">
        <v>23</v>
      </c>
      <c r="C14" s="185"/>
      <c r="D14" s="185"/>
      <c r="E14" s="185"/>
      <c r="F14" s="28" t="s">
        <v>70</v>
      </c>
      <c r="H14" s="25"/>
      <c r="I14" s="5"/>
      <c r="J14" s="5"/>
      <c r="K14" s="31" t="s">
        <v>83</v>
      </c>
      <c r="L14" s="31" t="s">
        <v>83</v>
      </c>
      <c r="M14" s="31" t="s">
        <v>83</v>
      </c>
      <c r="N14" s="31" t="s">
        <v>83</v>
      </c>
      <c r="O14" s="5"/>
      <c r="P14" s="5"/>
      <c r="Q14" s="28"/>
    </row>
    <row r="15" spans="1:17">
      <c r="B15" s="184" t="s">
        <v>24</v>
      </c>
      <c r="C15" s="185"/>
      <c r="D15" s="185"/>
      <c r="E15" s="185"/>
      <c r="F15" s="28" t="s">
        <v>71</v>
      </c>
      <c r="H15" s="25"/>
      <c r="I15" s="5"/>
      <c r="J15" s="5"/>
      <c r="K15" s="5"/>
      <c r="L15" s="31" t="s">
        <v>84</v>
      </c>
      <c r="M15" s="31" t="s">
        <v>84</v>
      </c>
      <c r="N15" s="31" t="s">
        <v>84</v>
      </c>
      <c r="O15" s="31" t="s">
        <v>84</v>
      </c>
      <c r="P15" s="32"/>
      <c r="Q15" s="33"/>
    </row>
    <row r="16" spans="1:17">
      <c r="B16" s="184" t="s">
        <v>25</v>
      </c>
      <c r="C16" s="185"/>
      <c r="D16" s="185"/>
      <c r="E16" s="185"/>
      <c r="F16" s="28" t="s">
        <v>72</v>
      </c>
      <c r="H16" s="25"/>
      <c r="I16" s="5"/>
      <c r="J16" s="5"/>
      <c r="K16" s="5"/>
      <c r="L16" s="32"/>
      <c r="M16" s="31" t="s">
        <v>85</v>
      </c>
      <c r="N16" s="31" t="s">
        <v>85</v>
      </c>
      <c r="O16" s="31" t="s">
        <v>85</v>
      </c>
      <c r="P16" s="31" t="s">
        <v>85</v>
      </c>
      <c r="Q16" s="33"/>
    </row>
    <row r="17" spans="1:22" ht="17" thickBot="1">
      <c r="B17" s="192" t="s">
        <v>26</v>
      </c>
      <c r="C17" s="193"/>
      <c r="D17" s="193"/>
      <c r="E17" s="193"/>
      <c r="F17" s="49" t="s">
        <v>73</v>
      </c>
      <c r="H17" s="34"/>
      <c r="I17" s="35"/>
      <c r="J17" s="35"/>
      <c r="K17" s="35"/>
      <c r="L17" s="36"/>
      <c r="M17" s="36"/>
      <c r="N17" s="37" t="s">
        <v>86</v>
      </c>
      <c r="O17" s="37" t="s">
        <v>86</v>
      </c>
      <c r="P17" s="37" t="s">
        <v>86</v>
      </c>
      <c r="Q17" s="38" t="s">
        <v>86</v>
      </c>
      <c r="S17" s="9" t="s">
        <v>119</v>
      </c>
      <c r="T17" s="9"/>
      <c r="U17" s="9"/>
    </row>
    <row r="18" spans="1:22">
      <c r="S18" s="91"/>
      <c r="T18" s="92" t="s">
        <v>120</v>
      </c>
      <c r="U18" s="92"/>
    </row>
    <row r="19" spans="1:22" ht="20" thickBot="1">
      <c r="A19" s="40" t="s">
        <v>74</v>
      </c>
      <c r="B19" s="41"/>
      <c r="R19" s="90"/>
      <c r="S19" s="93"/>
      <c r="T19" s="94" t="s">
        <v>118</v>
      </c>
      <c r="U19" s="94"/>
    </row>
    <row r="20" spans="1:22" ht="17" thickBot="1">
      <c r="A20" s="44" t="s">
        <v>75</v>
      </c>
      <c r="B20" s="45" t="s">
        <v>90</v>
      </c>
      <c r="C20" s="45"/>
      <c r="D20" s="45"/>
      <c r="E20" s="45"/>
      <c r="F20" s="14"/>
    </row>
    <row r="23" spans="1:22">
      <c r="V23" s="7"/>
    </row>
    <row r="24" spans="1:22">
      <c r="V24" s="7"/>
    </row>
    <row r="25" spans="1:22" ht="20" thickBot="1">
      <c r="A25" s="42" t="s">
        <v>91</v>
      </c>
      <c r="B25" s="43"/>
    </row>
    <row r="26" spans="1:22">
      <c r="B26" s="203" t="s">
        <v>102</v>
      </c>
      <c r="C26" s="204"/>
      <c r="D26" s="204"/>
      <c r="E26" s="205"/>
      <c r="F26" s="201" t="s">
        <v>104</v>
      </c>
      <c r="G26" s="209"/>
      <c r="H26" s="201" t="s">
        <v>103</v>
      </c>
    </row>
    <row r="27" spans="1:22" ht="17" thickBot="1">
      <c r="B27" s="206"/>
      <c r="C27" s="207"/>
      <c r="D27" s="207"/>
      <c r="E27" s="208"/>
      <c r="F27" s="202"/>
      <c r="G27" s="202"/>
      <c r="H27" s="202"/>
    </row>
    <row r="28" spans="1:22">
      <c r="B28" s="211" t="s">
        <v>92</v>
      </c>
      <c r="C28" s="212"/>
      <c r="D28" s="212"/>
      <c r="E28" s="212"/>
      <c r="F28" s="46" t="s">
        <v>105</v>
      </c>
      <c r="G28" s="46" t="s">
        <v>15</v>
      </c>
      <c r="H28" s="52">
        <v>4</v>
      </c>
    </row>
    <row r="29" spans="1:22">
      <c r="B29" s="197" t="s">
        <v>93</v>
      </c>
      <c r="C29" s="198"/>
      <c r="D29" s="198"/>
      <c r="E29" s="198"/>
      <c r="F29" s="47" t="s">
        <v>106</v>
      </c>
      <c r="G29" s="46" t="s">
        <v>15</v>
      </c>
      <c r="H29" s="53">
        <v>4</v>
      </c>
    </row>
    <row r="30" spans="1:22">
      <c r="B30" s="197" t="s">
        <v>94</v>
      </c>
      <c r="C30" s="198"/>
      <c r="D30" s="198"/>
      <c r="E30" s="198"/>
      <c r="F30" s="47" t="s">
        <v>107</v>
      </c>
      <c r="G30" s="46" t="s">
        <v>15</v>
      </c>
      <c r="H30" s="53">
        <v>3</v>
      </c>
      <c r="I30" s="13"/>
      <c r="J30" s="13"/>
    </row>
    <row r="31" spans="1:22">
      <c r="B31" s="197" t="s">
        <v>95</v>
      </c>
      <c r="C31" s="198"/>
      <c r="D31" s="198"/>
      <c r="E31" s="198"/>
      <c r="F31" s="47" t="s">
        <v>108</v>
      </c>
      <c r="G31" s="46" t="s">
        <v>15</v>
      </c>
      <c r="H31" s="53">
        <v>5</v>
      </c>
      <c r="I31" s="1"/>
      <c r="J31" s="1"/>
      <c r="K31" s="1"/>
      <c r="L31" s="1"/>
      <c r="M31" s="1"/>
      <c r="N31" s="1"/>
      <c r="O31" s="39"/>
    </row>
    <row r="32" spans="1:22">
      <c r="B32" s="197" t="s">
        <v>96</v>
      </c>
      <c r="C32" s="198"/>
      <c r="D32" s="198"/>
      <c r="E32" s="198"/>
      <c r="F32" s="47" t="s">
        <v>109</v>
      </c>
      <c r="G32" s="46" t="s">
        <v>15</v>
      </c>
      <c r="H32" s="53">
        <v>5</v>
      </c>
      <c r="I32" s="1"/>
      <c r="J32" s="1"/>
      <c r="K32" s="1"/>
      <c r="L32" s="1"/>
      <c r="M32" s="210"/>
      <c r="N32" s="210"/>
      <c r="O32" s="39"/>
    </row>
    <row r="33" spans="1:8">
      <c r="B33" s="197" t="s">
        <v>97</v>
      </c>
      <c r="C33" s="198"/>
      <c r="D33" s="198"/>
      <c r="E33" s="198"/>
      <c r="F33" s="47" t="s">
        <v>110</v>
      </c>
      <c r="G33" s="46" t="s">
        <v>15</v>
      </c>
      <c r="H33" s="53">
        <v>3</v>
      </c>
    </row>
    <row r="34" spans="1:8">
      <c r="B34" s="197" t="s">
        <v>98</v>
      </c>
      <c r="C34" s="198"/>
      <c r="D34" s="198"/>
      <c r="E34" s="198"/>
      <c r="F34" s="47" t="s">
        <v>111</v>
      </c>
      <c r="G34" s="46" t="s">
        <v>15</v>
      </c>
      <c r="H34" s="53">
        <v>4</v>
      </c>
    </row>
    <row r="35" spans="1:8">
      <c r="B35" s="197" t="s">
        <v>99</v>
      </c>
      <c r="C35" s="198"/>
      <c r="D35" s="198"/>
      <c r="E35" s="198"/>
      <c r="F35" s="47" t="s">
        <v>112</v>
      </c>
      <c r="G35" s="46" t="s">
        <v>15</v>
      </c>
      <c r="H35" s="53">
        <v>4</v>
      </c>
    </row>
    <row r="36" spans="1:8">
      <c r="B36" s="197" t="s">
        <v>100</v>
      </c>
      <c r="C36" s="198"/>
      <c r="D36" s="198"/>
      <c r="E36" s="198"/>
      <c r="F36" s="47" t="s">
        <v>113</v>
      </c>
      <c r="G36" s="46" t="s">
        <v>15</v>
      </c>
      <c r="H36" s="53">
        <v>3</v>
      </c>
    </row>
    <row r="37" spans="1:8" ht="17" thickBot="1">
      <c r="B37" s="199" t="s">
        <v>101</v>
      </c>
      <c r="C37" s="200"/>
      <c r="D37" s="200"/>
      <c r="E37" s="200"/>
      <c r="F37" s="48" t="s">
        <v>114</v>
      </c>
      <c r="G37" s="50" t="s">
        <v>15</v>
      </c>
      <c r="H37" s="54">
        <v>3</v>
      </c>
    </row>
    <row r="39" spans="1:8" ht="19">
      <c r="A39" s="181" t="s">
        <v>173</v>
      </c>
      <c r="B39" s="181"/>
      <c r="C39" s="181"/>
      <c r="D39" s="181"/>
      <c r="E39" s="181"/>
    </row>
  </sheetData>
  <mergeCells count="28">
    <mergeCell ref="H6:Q6"/>
    <mergeCell ref="B35:E35"/>
    <mergeCell ref="B36:E36"/>
    <mergeCell ref="B37:E37"/>
    <mergeCell ref="H26:H27"/>
    <mergeCell ref="B26:E27"/>
    <mergeCell ref="F26:F27"/>
    <mergeCell ref="G26:G27"/>
    <mergeCell ref="B29:E29"/>
    <mergeCell ref="B30:E30"/>
    <mergeCell ref="B31:E31"/>
    <mergeCell ref="B32:E32"/>
    <mergeCell ref="B33:E33"/>
    <mergeCell ref="B34:E34"/>
    <mergeCell ref="M32:N32"/>
    <mergeCell ref="B28:E28"/>
    <mergeCell ref="B13:E13"/>
    <mergeCell ref="B14:E14"/>
    <mergeCell ref="B15:E15"/>
    <mergeCell ref="B16:E16"/>
    <mergeCell ref="B17:E17"/>
    <mergeCell ref="B11:E11"/>
    <mergeCell ref="B12:E12"/>
    <mergeCell ref="B7:E7"/>
    <mergeCell ref="A6:B6"/>
    <mergeCell ref="B8:E8"/>
    <mergeCell ref="B9:E9"/>
    <mergeCell ref="B10:E10"/>
  </mergeCells>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75175-FDF8-4B31-982B-FBC396DC4D4C}">
  <dimension ref="A1:B18"/>
  <sheetViews>
    <sheetView workbookViewId="0"/>
  </sheetViews>
  <sheetFormatPr baseColWidth="10" defaultColWidth="8.83203125" defaultRowHeight="16"/>
  <sheetData>
    <row r="1" spans="1:2">
      <c r="B1">
        <v>1</v>
      </c>
    </row>
    <row r="2" spans="1:2">
      <c r="B2" t="s">
        <v>145</v>
      </c>
    </row>
    <row r="3" spans="1:2">
      <c r="B3">
        <v>1</v>
      </c>
    </row>
    <row r="4" spans="1:2">
      <c r="B4">
        <v>15</v>
      </c>
    </row>
    <row r="5" spans="1:2">
      <c r="B5">
        <v>60</v>
      </c>
    </row>
    <row r="6" spans="1:2">
      <c r="B6">
        <v>2</v>
      </c>
    </row>
    <row r="8" spans="1:2">
      <c r="A8" s="134"/>
      <c r="B8" s="134" t="s">
        <v>146</v>
      </c>
    </row>
    <row r="9" spans="1:2">
      <c r="B9" t="s">
        <v>135</v>
      </c>
    </row>
    <row r="10" spans="1:2">
      <c r="B10">
        <v>1</v>
      </c>
    </row>
    <row r="11" spans="1:2">
      <c r="B11">
        <v>30</v>
      </c>
    </row>
    <row r="12" spans="1:2">
      <c r="B12">
        <v>40</v>
      </c>
    </row>
    <row r="13" spans="1:2">
      <c r="B13">
        <v>2</v>
      </c>
    </row>
    <row r="15" spans="1:2">
      <c r="B15" s="134" t="s">
        <v>146</v>
      </c>
    </row>
    <row r="16" spans="1:2">
      <c r="B16" t="s">
        <v>151</v>
      </c>
    </row>
    <row r="17" spans="2:2">
      <c r="B17" t="s">
        <v>147</v>
      </c>
    </row>
    <row r="18" spans="2:2">
      <c r="B18" t="s">
        <v>148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31B76-7B69-466D-AF1C-139224CED436}">
  <dimension ref="A1:AZ52"/>
  <sheetViews>
    <sheetView workbookViewId="0">
      <selection activeCell="S32" sqref="S32"/>
    </sheetView>
  </sheetViews>
  <sheetFormatPr baseColWidth="10" defaultColWidth="8.83203125" defaultRowHeight="16"/>
  <cols>
    <col min="1" max="1" width="6" bestFit="1" customWidth="1"/>
  </cols>
  <sheetData>
    <row r="1" spans="1:52">
      <c r="A1" s="135" t="s">
        <v>154</v>
      </c>
      <c r="K1" s="139" t="str">
        <f>CONCATENATE("Sensitivity of ",$K$4," to ","Input2")</f>
        <v>Sensitivity of $C$62 to Input2</v>
      </c>
      <c r="O1" s="139" t="str">
        <f>CONCATENATE("Sensitivity of ",$O$4," to ","Input1")</f>
        <v>Sensitivity of $C$61 to Input1</v>
      </c>
    </row>
    <row r="2" spans="1:52">
      <c r="K2" t="s">
        <v>156</v>
      </c>
      <c r="O2" t="s">
        <v>159</v>
      </c>
      <c r="AZ2" t="s">
        <v>152</v>
      </c>
    </row>
    <row r="3" spans="1:52">
      <c r="A3" t="s">
        <v>155</v>
      </c>
      <c r="K3" t="s">
        <v>157</v>
      </c>
      <c r="L3" t="s">
        <v>158</v>
      </c>
      <c r="O3" t="s">
        <v>157</v>
      </c>
      <c r="P3" t="s">
        <v>160</v>
      </c>
      <c r="AZ3" t="s">
        <v>153</v>
      </c>
    </row>
    <row r="4" spans="1:52" ht="37">
      <c r="A4" s="147" t="s">
        <v>152</v>
      </c>
      <c r="B4" s="140">
        <v>30</v>
      </c>
      <c r="C4" s="140">
        <v>32</v>
      </c>
      <c r="D4" s="140">
        <v>34</v>
      </c>
      <c r="E4" s="140">
        <v>36</v>
      </c>
      <c r="F4" s="140">
        <v>38</v>
      </c>
      <c r="G4" s="140">
        <v>40</v>
      </c>
      <c r="J4" s="139">
        <f>MATCH($K$4,OutputAddresses,0)</f>
        <v>2</v>
      </c>
      <c r="K4" s="138" t="s">
        <v>153</v>
      </c>
      <c r="L4" s="148">
        <v>53</v>
      </c>
      <c r="M4" s="139">
        <f>MATCH($L$4,InputValues1,0)</f>
        <v>20</v>
      </c>
      <c r="N4" s="139">
        <f>MATCH($O$4,OutputAddresses,0)</f>
        <v>1</v>
      </c>
      <c r="O4" s="138" t="s">
        <v>152</v>
      </c>
      <c r="P4" s="148">
        <v>30</v>
      </c>
      <c r="Q4" s="139">
        <f>MATCH($P$4,InputValues2,0)</f>
        <v>1</v>
      </c>
    </row>
    <row r="5" spans="1:52">
      <c r="A5" s="140">
        <v>15</v>
      </c>
      <c r="B5" s="149">
        <v>7</v>
      </c>
      <c r="C5" s="152">
        <v>7</v>
      </c>
      <c r="D5" s="152">
        <v>7</v>
      </c>
      <c r="E5" s="152">
        <v>7</v>
      </c>
      <c r="F5" s="152">
        <v>7</v>
      </c>
      <c r="G5" s="155">
        <v>7</v>
      </c>
      <c r="J5" s="139" t="str">
        <f>"OutputValues_"&amp;$J$4</f>
        <v>OutputValues_2</v>
      </c>
      <c r="K5">
        <f ca="1">INDEX(INDIRECT($J$5),$M$4,1)</f>
        <v>0</v>
      </c>
      <c r="N5" s="139" t="str">
        <f>"OutputValues_"&amp;$N$4</f>
        <v>OutputValues_1</v>
      </c>
      <c r="O5">
        <f ca="1">INDEX(INDIRECT($N$5),1,$Q$4)</f>
        <v>7</v>
      </c>
    </row>
    <row r="6" spans="1:52">
      <c r="A6" s="140">
        <v>17</v>
      </c>
      <c r="B6" s="150">
        <v>7</v>
      </c>
      <c r="C6" s="153">
        <v>7</v>
      </c>
      <c r="D6" s="153">
        <v>7</v>
      </c>
      <c r="E6" s="153">
        <v>7</v>
      </c>
      <c r="F6" s="153">
        <v>7</v>
      </c>
      <c r="G6" s="156">
        <v>7</v>
      </c>
      <c r="K6">
        <f ca="1">INDEX(INDIRECT($J$5),$M$4,2)</f>
        <v>2</v>
      </c>
      <c r="O6">
        <f ca="1">INDEX(INDIRECT($N$5),2,$Q$4)</f>
        <v>7</v>
      </c>
    </row>
    <row r="7" spans="1:52">
      <c r="A7" s="140">
        <v>19</v>
      </c>
      <c r="B7" s="150">
        <v>7</v>
      </c>
      <c r="C7" s="153">
        <v>7</v>
      </c>
      <c r="D7" s="153">
        <v>7</v>
      </c>
      <c r="E7" s="153">
        <v>7</v>
      </c>
      <c r="F7" s="153">
        <v>7</v>
      </c>
      <c r="G7" s="156">
        <v>7</v>
      </c>
      <c r="K7">
        <f ca="1">INDEX(INDIRECT($J$5),$M$4,3)</f>
        <v>2</v>
      </c>
      <c r="O7">
        <f ca="1">INDEX(INDIRECT($N$5),3,$Q$4)</f>
        <v>7</v>
      </c>
    </row>
    <row r="8" spans="1:52">
      <c r="A8" s="140">
        <v>21</v>
      </c>
      <c r="B8" s="150">
        <v>7</v>
      </c>
      <c r="C8" s="153">
        <v>7</v>
      </c>
      <c r="D8" s="153">
        <v>7</v>
      </c>
      <c r="E8" s="153">
        <v>7</v>
      </c>
      <c r="F8" s="153">
        <v>7</v>
      </c>
      <c r="G8" s="156">
        <v>7</v>
      </c>
      <c r="K8">
        <f ca="1">INDEX(INDIRECT($J$5),$M$4,4)</f>
        <v>2</v>
      </c>
      <c r="O8">
        <f ca="1">INDEX(INDIRECT($N$5),4,$Q$4)</f>
        <v>7</v>
      </c>
    </row>
    <row r="9" spans="1:52">
      <c r="A9" s="140">
        <v>23</v>
      </c>
      <c r="B9" s="150">
        <v>7</v>
      </c>
      <c r="C9" s="153">
        <v>7</v>
      </c>
      <c r="D9" s="153">
        <v>7</v>
      </c>
      <c r="E9" s="153">
        <v>7</v>
      </c>
      <c r="F9" s="153">
        <v>7</v>
      </c>
      <c r="G9" s="156">
        <v>7</v>
      </c>
      <c r="K9">
        <f ca="1">INDEX(INDIRECT($J$5),$M$4,5)</f>
        <v>2</v>
      </c>
      <c r="O9">
        <f ca="1">INDEX(INDIRECT($N$5),5,$Q$4)</f>
        <v>7</v>
      </c>
    </row>
    <row r="10" spans="1:52">
      <c r="A10" s="140">
        <v>25</v>
      </c>
      <c r="B10" s="150">
        <v>7</v>
      </c>
      <c r="C10" s="153">
        <v>7</v>
      </c>
      <c r="D10" s="153">
        <v>7</v>
      </c>
      <c r="E10" s="153">
        <v>7</v>
      </c>
      <c r="F10" s="153">
        <v>7</v>
      </c>
      <c r="G10" s="156">
        <v>7</v>
      </c>
      <c r="K10">
        <f ca="1">INDEX(INDIRECT($J$5),$M$4,6)</f>
        <v>2</v>
      </c>
      <c r="O10">
        <f ca="1">INDEX(INDIRECT($N$5),6,$Q$4)</f>
        <v>7</v>
      </c>
    </row>
    <row r="11" spans="1:52">
      <c r="A11" s="140">
        <v>27</v>
      </c>
      <c r="B11" s="150">
        <v>7</v>
      </c>
      <c r="C11" s="153">
        <v>7</v>
      </c>
      <c r="D11" s="153">
        <v>7</v>
      </c>
      <c r="E11" s="153">
        <v>7</v>
      </c>
      <c r="F11" s="153">
        <v>7</v>
      </c>
      <c r="G11" s="156">
        <v>7</v>
      </c>
      <c r="O11">
        <f ca="1">INDEX(INDIRECT($N$5),7,$Q$4)</f>
        <v>7</v>
      </c>
    </row>
    <row r="12" spans="1:52">
      <c r="A12" s="140">
        <v>29</v>
      </c>
      <c r="B12" s="150">
        <v>7</v>
      </c>
      <c r="C12" s="153">
        <v>7</v>
      </c>
      <c r="D12" s="153">
        <v>7</v>
      </c>
      <c r="E12" s="153">
        <v>7</v>
      </c>
      <c r="F12" s="153">
        <v>7</v>
      </c>
      <c r="G12" s="156">
        <v>7</v>
      </c>
      <c r="O12">
        <f ca="1">INDEX(INDIRECT($N$5),8,$Q$4)</f>
        <v>7</v>
      </c>
    </row>
    <row r="13" spans="1:52">
      <c r="A13" s="140">
        <v>31</v>
      </c>
      <c r="B13" s="150">
        <v>7</v>
      </c>
      <c r="C13" s="153">
        <v>7</v>
      </c>
      <c r="D13" s="153">
        <v>7</v>
      </c>
      <c r="E13" s="153">
        <v>7</v>
      </c>
      <c r="F13" s="153">
        <v>7</v>
      </c>
      <c r="G13" s="156">
        <v>7</v>
      </c>
      <c r="O13">
        <f ca="1">INDEX(INDIRECT($N$5),9,$Q$4)</f>
        <v>7</v>
      </c>
    </row>
    <row r="14" spans="1:52">
      <c r="A14" s="140">
        <v>33</v>
      </c>
      <c r="B14" s="150">
        <v>7</v>
      </c>
      <c r="C14" s="153">
        <v>7</v>
      </c>
      <c r="D14" s="153">
        <v>7</v>
      </c>
      <c r="E14" s="153">
        <v>7</v>
      </c>
      <c r="F14" s="153">
        <v>7</v>
      </c>
      <c r="G14" s="156">
        <v>7</v>
      </c>
      <c r="O14">
        <f ca="1">INDEX(INDIRECT($N$5),10,$Q$4)</f>
        <v>7</v>
      </c>
    </row>
    <row r="15" spans="1:52">
      <c r="A15" s="140">
        <v>35</v>
      </c>
      <c r="B15" s="150">
        <v>7</v>
      </c>
      <c r="C15" s="153">
        <v>7</v>
      </c>
      <c r="D15" s="153">
        <v>7</v>
      </c>
      <c r="E15" s="153">
        <v>7</v>
      </c>
      <c r="F15" s="153">
        <v>7</v>
      </c>
      <c r="G15" s="156">
        <v>7</v>
      </c>
      <c r="O15">
        <f ca="1">INDEX(INDIRECT($N$5),11,$Q$4)</f>
        <v>7</v>
      </c>
    </row>
    <row r="16" spans="1:52">
      <c r="A16" s="140">
        <v>37</v>
      </c>
      <c r="B16" s="150">
        <v>7</v>
      </c>
      <c r="C16" s="153">
        <v>7</v>
      </c>
      <c r="D16" s="153">
        <v>7</v>
      </c>
      <c r="E16" s="153">
        <v>7</v>
      </c>
      <c r="F16" s="153">
        <v>7</v>
      </c>
      <c r="G16" s="156">
        <v>7</v>
      </c>
      <c r="O16">
        <f ca="1">INDEX(INDIRECT($N$5),12,$Q$4)</f>
        <v>7</v>
      </c>
    </row>
    <row r="17" spans="1:15">
      <c r="A17" s="140">
        <v>39</v>
      </c>
      <c r="B17" s="150">
        <v>7</v>
      </c>
      <c r="C17" s="153">
        <v>7</v>
      </c>
      <c r="D17" s="153">
        <v>7</v>
      </c>
      <c r="E17" s="153">
        <v>7</v>
      </c>
      <c r="F17" s="153">
        <v>7</v>
      </c>
      <c r="G17" s="156">
        <v>7</v>
      </c>
      <c r="O17">
        <f ca="1">INDEX(INDIRECT($N$5),13,$Q$4)</f>
        <v>7</v>
      </c>
    </row>
    <row r="18" spans="1:15">
      <c r="A18" s="140">
        <v>41</v>
      </c>
      <c r="B18" s="150">
        <v>7</v>
      </c>
      <c r="C18" s="153">
        <v>7</v>
      </c>
      <c r="D18" s="153">
        <v>7</v>
      </c>
      <c r="E18" s="153">
        <v>7</v>
      </c>
      <c r="F18" s="153">
        <v>7</v>
      </c>
      <c r="G18" s="156">
        <v>7</v>
      </c>
      <c r="O18">
        <f ca="1">INDEX(INDIRECT($N$5),14,$Q$4)</f>
        <v>7</v>
      </c>
    </row>
    <row r="19" spans="1:15">
      <c r="A19" s="140">
        <v>43</v>
      </c>
      <c r="B19" s="150">
        <v>7</v>
      </c>
      <c r="C19" s="153">
        <v>7</v>
      </c>
      <c r="D19" s="153">
        <v>7</v>
      </c>
      <c r="E19" s="153">
        <v>7</v>
      </c>
      <c r="F19" s="153">
        <v>7</v>
      </c>
      <c r="G19" s="156">
        <v>7</v>
      </c>
      <c r="O19">
        <f ca="1">INDEX(INDIRECT($N$5),15,$Q$4)</f>
        <v>7</v>
      </c>
    </row>
    <row r="20" spans="1:15">
      <c r="A20" s="140">
        <v>45</v>
      </c>
      <c r="B20" s="150">
        <v>7</v>
      </c>
      <c r="C20" s="153">
        <v>7</v>
      </c>
      <c r="D20" s="153">
        <v>7</v>
      </c>
      <c r="E20" s="153">
        <v>7</v>
      </c>
      <c r="F20" s="153">
        <v>7</v>
      </c>
      <c r="G20" s="156">
        <v>7</v>
      </c>
      <c r="O20">
        <f ca="1">INDEX(INDIRECT($N$5),16,$Q$4)</f>
        <v>7</v>
      </c>
    </row>
    <row r="21" spans="1:15">
      <c r="A21" s="140">
        <v>47</v>
      </c>
      <c r="B21" s="150">
        <v>7</v>
      </c>
      <c r="C21" s="153">
        <v>7</v>
      </c>
      <c r="D21" s="153">
        <v>7</v>
      </c>
      <c r="E21" s="153">
        <v>7</v>
      </c>
      <c r="F21" s="153">
        <v>7</v>
      </c>
      <c r="G21" s="156">
        <v>7</v>
      </c>
      <c r="O21">
        <f ca="1">INDEX(INDIRECT($N$5),17,$Q$4)</f>
        <v>7</v>
      </c>
    </row>
    <row r="22" spans="1:15">
      <c r="A22" s="140">
        <v>49</v>
      </c>
      <c r="B22" s="150">
        <v>7</v>
      </c>
      <c r="C22" s="153">
        <v>7</v>
      </c>
      <c r="D22" s="153">
        <v>7</v>
      </c>
      <c r="E22" s="153">
        <v>7</v>
      </c>
      <c r="F22" s="153">
        <v>7</v>
      </c>
      <c r="G22" s="156">
        <v>7</v>
      </c>
      <c r="O22">
        <f ca="1">INDEX(INDIRECT($N$5),18,$Q$4)</f>
        <v>7</v>
      </c>
    </row>
    <row r="23" spans="1:15">
      <c r="A23" s="140">
        <v>51</v>
      </c>
      <c r="B23" s="150">
        <v>7</v>
      </c>
      <c r="C23" s="153">
        <v>7</v>
      </c>
      <c r="D23" s="153">
        <v>7</v>
      </c>
      <c r="E23" s="153">
        <v>7</v>
      </c>
      <c r="F23" s="153">
        <v>7</v>
      </c>
      <c r="G23" s="156">
        <v>7</v>
      </c>
      <c r="O23">
        <f ca="1">INDEX(INDIRECT($N$5),19,$Q$4)</f>
        <v>7</v>
      </c>
    </row>
    <row r="24" spans="1:15">
      <c r="A24" s="140">
        <v>53</v>
      </c>
      <c r="B24" s="150">
        <v>9</v>
      </c>
      <c r="C24" s="153">
        <v>7</v>
      </c>
      <c r="D24" s="153">
        <v>7</v>
      </c>
      <c r="E24" s="153">
        <v>7</v>
      </c>
      <c r="F24" s="153">
        <v>7</v>
      </c>
      <c r="G24" s="156">
        <v>7</v>
      </c>
      <c r="O24">
        <f ca="1">INDEX(INDIRECT($N$5),20,$Q$4)</f>
        <v>9</v>
      </c>
    </row>
    <row r="25" spans="1:15">
      <c r="A25" s="140">
        <v>55</v>
      </c>
      <c r="B25" s="150">
        <v>9</v>
      </c>
      <c r="C25" s="153">
        <v>7</v>
      </c>
      <c r="D25" s="153">
        <v>7</v>
      </c>
      <c r="E25" s="153">
        <v>7</v>
      </c>
      <c r="F25" s="153">
        <v>7</v>
      </c>
      <c r="G25" s="156">
        <v>7</v>
      </c>
      <c r="O25">
        <f ca="1">INDEX(INDIRECT($N$5),21,$Q$4)</f>
        <v>9</v>
      </c>
    </row>
    <row r="26" spans="1:15">
      <c r="A26" s="140">
        <v>57</v>
      </c>
      <c r="B26" s="150">
        <v>9</v>
      </c>
      <c r="C26" s="153">
        <v>9</v>
      </c>
      <c r="D26" s="153">
        <v>7</v>
      </c>
      <c r="E26" s="153">
        <v>7</v>
      </c>
      <c r="F26" s="153">
        <v>7</v>
      </c>
      <c r="G26" s="156">
        <v>7</v>
      </c>
      <c r="O26">
        <f ca="1">INDEX(INDIRECT($N$5),22,$Q$4)</f>
        <v>9</v>
      </c>
    </row>
    <row r="27" spans="1:15">
      <c r="A27" s="140">
        <v>59</v>
      </c>
      <c r="B27" s="151">
        <v>9</v>
      </c>
      <c r="C27" s="154">
        <v>9</v>
      </c>
      <c r="D27" s="154">
        <v>7</v>
      </c>
      <c r="E27" s="154">
        <v>7</v>
      </c>
      <c r="F27" s="154">
        <v>7</v>
      </c>
      <c r="G27" s="157">
        <v>7</v>
      </c>
      <c r="O27">
        <f ca="1">INDEX(INDIRECT($N$5),23,$Q$4)</f>
        <v>9</v>
      </c>
    </row>
    <row r="29" spans="1:15">
      <c r="A29" s="147" t="s">
        <v>153</v>
      </c>
      <c r="B29" s="140">
        <v>30</v>
      </c>
      <c r="C29" s="140">
        <v>32</v>
      </c>
      <c r="D29" s="140">
        <v>34</v>
      </c>
      <c r="E29" s="140">
        <v>36</v>
      </c>
      <c r="F29" s="140">
        <v>38</v>
      </c>
      <c r="G29" s="140">
        <v>40</v>
      </c>
    </row>
    <row r="30" spans="1:15">
      <c r="A30" s="140">
        <v>15</v>
      </c>
      <c r="B30" s="149">
        <v>2</v>
      </c>
      <c r="C30" s="152">
        <v>2</v>
      </c>
      <c r="D30" s="152">
        <v>2</v>
      </c>
      <c r="E30" s="152">
        <v>2</v>
      </c>
      <c r="F30" s="152">
        <v>2</v>
      </c>
      <c r="G30" s="155">
        <v>2</v>
      </c>
    </row>
    <row r="31" spans="1:15">
      <c r="A31" s="140">
        <v>17</v>
      </c>
      <c r="B31" s="150">
        <v>2</v>
      </c>
      <c r="C31" s="153">
        <v>2</v>
      </c>
      <c r="D31" s="153">
        <v>2</v>
      </c>
      <c r="E31" s="153">
        <v>2</v>
      </c>
      <c r="F31" s="153">
        <v>2</v>
      </c>
      <c r="G31" s="156">
        <v>2</v>
      </c>
    </row>
    <row r="32" spans="1:15">
      <c r="A32" s="140">
        <v>19</v>
      </c>
      <c r="B32" s="150">
        <v>2</v>
      </c>
      <c r="C32" s="153">
        <v>2</v>
      </c>
      <c r="D32" s="153">
        <v>2</v>
      </c>
      <c r="E32" s="153">
        <v>2</v>
      </c>
      <c r="F32" s="153">
        <v>2</v>
      </c>
      <c r="G32" s="156">
        <v>2</v>
      </c>
    </row>
    <row r="33" spans="1:7">
      <c r="A33" s="140">
        <v>21</v>
      </c>
      <c r="B33" s="150">
        <v>2</v>
      </c>
      <c r="C33" s="153">
        <v>2</v>
      </c>
      <c r="D33" s="153">
        <v>2</v>
      </c>
      <c r="E33" s="153">
        <v>2</v>
      </c>
      <c r="F33" s="153">
        <v>2</v>
      </c>
      <c r="G33" s="156">
        <v>2</v>
      </c>
    </row>
    <row r="34" spans="1:7">
      <c r="A34" s="140">
        <v>23</v>
      </c>
      <c r="B34" s="150">
        <v>2</v>
      </c>
      <c r="C34" s="153">
        <v>2</v>
      </c>
      <c r="D34" s="153">
        <v>2</v>
      </c>
      <c r="E34" s="153">
        <v>2</v>
      </c>
      <c r="F34" s="153">
        <v>2</v>
      </c>
      <c r="G34" s="156">
        <v>2</v>
      </c>
    </row>
    <row r="35" spans="1:7">
      <c r="A35" s="140">
        <v>25</v>
      </c>
      <c r="B35" s="150">
        <v>2</v>
      </c>
      <c r="C35" s="153">
        <v>2</v>
      </c>
      <c r="D35" s="153">
        <v>2</v>
      </c>
      <c r="E35" s="153">
        <v>2</v>
      </c>
      <c r="F35" s="153">
        <v>2</v>
      </c>
      <c r="G35" s="156">
        <v>2</v>
      </c>
    </row>
    <row r="36" spans="1:7">
      <c r="A36" s="140">
        <v>27</v>
      </c>
      <c r="B36" s="150">
        <v>2</v>
      </c>
      <c r="C36" s="153">
        <v>2</v>
      </c>
      <c r="D36" s="153">
        <v>2</v>
      </c>
      <c r="E36" s="153">
        <v>2</v>
      </c>
      <c r="F36" s="153">
        <v>2</v>
      </c>
      <c r="G36" s="156">
        <v>2</v>
      </c>
    </row>
    <row r="37" spans="1:7">
      <c r="A37" s="140">
        <v>29</v>
      </c>
      <c r="B37" s="150">
        <v>2</v>
      </c>
      <c r="C37" s="153">
        <v>2</v>
      </c>
      <c r="D37" s="153">
        <v>2</v>
      </c>
      <c r="E37" s="153">
        <v>2</v>
      </c>
      <c r="F37" s="153">
        <v>2</v>
      </c>
      <c r="G37" s="156">
        <v>2</v>
      </c>
    </row>
    <row r="38" spans="1:7">
      <c r="A38" s="140">
        <v>31</v>
      </c>
      <c r="B38" s="150">
        <v>2</v>
      </c>
      <c r="C38" s="153">
        <v>2</v>
      </c>
      <c r="D38" s="153">
        <v>2</v>
      </c>
      <c r="E38" s="153">
        <v>2</v>
      </c>
      <c r="F38" s="153">
        <v>2</v>
      </c>
      <c r="G38" s="156">
        <v>2</v>
      </c>
    </row>
    <row r="39" spans="1:7">
      <c r="A39" s="140">
        <v>33</v>
      </c>
      <c r="B39" s="150">
        <v>2</v>
      </c>
      <c r="C39" s="153">
        <v>2</v>
      </c>
      <c r="D39" s="153">
        <v>2</v>
      </c>
      <c r="E39" s="153">
        <v>2</v>
      </c>
      <c r="F39" s="153">
        <v>2</v>
      </c>
      <c r="G39" s="156">
        <v>2</v>
      </c>
    </row>
    <row r="40" spans="1:7">
      <c r="A40" s="140">
        <v>35</v>
      </c>
      <c r="B40" s="150">
        <v>2</v>
      </c>
      <c r="C40" s="153">
        <v>2</v>
      </c>
      <c r="D40" s="153">
        <v>2</v>
      </c>
      <c r="E40" s="153">
        <v>2</v>
      </c>
      <c r="F40" s="153">
        <v>2</v>
      </c>
      <c r="G40" s="156">
        <v>2</v>
      </c>
    </row>
    <row r="41" spans="1:7">
      <c r="A41" s="140">
        <v>37</v>
      </c>
      <c r="B41" s="150">
        <v>2</v>
      </c>
      <c r="C41" s="153">
        <v>2</v>
      </c>
      <c r="D41" s="153">
        <v>2</v>
      </c>
      <c r="E41" s="153">
        <v>2</v>
      </c>
      <c r="F41" s="153">
        <v>2</v>
      </c>
      <c r="G41" s="156">
        <v>2</v>
      </c>
    </row>
    <row r="42" spans="1:7">
      <c r="A42" s="140">
        <v>39</v>
      </c>
      <c r="B42" s="150">
        <v>2</v>
      </c>
      <c r="C42" s="153">
        <v>2</v>
      </c>
      <c r="D42" s="153">
        <v>2</v>
      </c>
      <c r="E42" s="153">
        <v>2</v>
      </c>
      <c r="F42" s="153">
        <v>2</v>
      </c>
      <c r="G42" s="156">
        <v>2</v>
      </c>
    </row>
    <row r="43" spans="1:7">
      <c r="A43" s="140">
        <v>41</v>
      </c>
      <c r="B43" s="150">
        <v>2</v>
      </c>
      <c r="C43" s="153">
        <v>2</v>
      </c>
      <c r="D43" s="153">
        <v>2</v>
      </c>
      <c r="E43" s="153">
        <v>2</v>
      </c>
      <c r="F43" s="153">
        <v>2</v>
      </c>
      <c r="G43" s="156">
        <v>2</v>
      </c>
    </row>
    <row r="44" spans="1:7">
      <c r="A44" s="140">
        <v>43</v>
      </c>
      <c r="B44" s="150">
        <v>2</v>
      </c>
      <c r="C44" s="153">
        <v>2</v>
      </c>
      <c r="D44" s="153">
        <v>2</v>
      </c>
      <c r="E44" s="153">
        <v>2</v>
      </c>
      <c r="F44" s="153">
        <v>2</v>
      </c>
      <c r="G44" s="156">
        <v>2</v>
      </c>
    </row>
    <row r="45" spans="1:7">
      <c r="A45" s="140">
        <v>45</v>
      </c>
      <c r="B45" s="150">
        <v>2</v>
      </c>
      <c r="C45" s="153">
        <v>2</v>
      </c>
      <c r="D45" s="153">
        <v>2</v>
      </c>
      <c r="E45" s="153">
        <v>2</v>
      </c>
      <c r="F45" s="153">
        <v>2</v>
      </c>
      <c r="G45" s="156">
        <v>2</v>
      </c>
    </row>
    <row r="46" spans="1:7">
      <c r="A46" s="140">
        <v>47</v>
      </c>
      <c r="B46" s="150">
        <v>2</v>
      </c>
      <c r="C46" s="153">
        <v>2</v>
      </c>
      <c r="D46" s="153">
        <v>2</v>
      </c>
      <c r="E46" s="153">
        <v>2</v>
      </c>
      <c r="F46" s="153">
        <v>2</v>
      </c>
      <c r="G46" s="156">
        <v>2</v>
      </c>
    </row>
    <row r="47" spans="1:7">
      <c r="A47" s="140">
        <v>49</v>
      </c>
      <c r="B47" s="150">
        <v>2</v>
      </c>
      <c r="C47" s="153">
        <v>2</v>
      </c>
      <c r="D47" s="153">
        <v>2</v>
      </c>
      <c r="E47" s="153">
        <v>2</v>
      </c>
      <c r="F47" s="153">
        <v>2</v>
      </c>
      <c r="G47" s="156">
        <v>2</v>
      </c>
    </row>
    <row r="48" spans="1:7">
      <c r="A48" s="140">
        <v>51</v>
      </c>
      <c r="B48" s="150">
        <v>2</v>
      </c>
      <c r="C48" s="153">
        <v>2</v>
      </c>
      <c r="D48" s="153">
        <v>2</v>
      </c>
      <c r="E48" s="153">
        <v>2</v>
      </c>
      <c r="F48" s="153">
        <v>2</v>
      </c>
      <c r="G48" s="156">
        <v>2</v>
      </c>
    </row>
    <row r="49" spans="1:7">
      <c r="A49" s="140">
        <v>53</v>
      </c>
      <c r="B49" s="150">
        <v>0</v>
      </c>
      <c r="C49" s="153">
        <v>2</v>
      </c>
      <c r="D49" s="153">
        <v>2</v>
      </c>
      <c r="E49" s="153">
        <v>2</v>
      </c>
      <c r="F49" s="153">
        <v>2</v>
      </c>
      <c r="G49" s="156">
        <v>2</v>
      </c>
    </row>
    <row r="50" spans="1:7">
      <c r="A50" s="140">
        <v>55</v>
      </c>
      <c r="B50" s="150">
        <v>0</v>
      </c>
      <c r="C50" s="153">
        <v>2</v>
      </c>
      <c r="D50" s="153">
        <v>2</v>
      </c>
      <c r="E50" s="153">
        <v>2</v>
      </c>
      <c r="F50" s="153">
        <v>2</v>
      </c>
      <c r="G50" s="156">
        <v>2</v>
      </c>
    </row>
    <row r="51" spans="1:7">
      <c r="A51" s="140">
        <v>57</v>
      </c>
      <c r="B51" s="150">
        <v>0</v>
      </c>
      <c r="C51" s="153">
        <v>0</v>
      </c>
      <c r="D51" s="153">
        <v>2</v>
      </c>
      <c r="E51" s="153">
        <v>2</v>
      </c>
      <c r="F51" s="153">
        <v>2</v>
      </c>
      <c r="G51" s="156">
        <v>2</v>
      </c>
    </row>
    <row r="52" spans="1:7">
      <c r="A52" s="140">
        <v>59</v>
      </c>
      <c r="B52" s="151">
        <v>0</v>
      </c>
      <c r="C52" s="154">
        <v>0</v>
      </c>
      <c r="D52" s="154">
        <v>2</v>
      </c>
      <c r="E52" s="154">
        <v>2</v>
      </c>
      <c r="F52" s="154">
        <v>2</v>
      </c>
      <c r="G52" s="157">
        <v>2</v>
      </c>
    </row>
  </sheetData>
  <dataValidations count="3">
    <dataValidation type="list" allowBlank="1" showInputMessage="1" showErrorMessage="1" sqref="K4 O4" xr:uid="{23C7D97C-DB94-4377-81B4-035415E8E0CB}">
      <formula1>OutputAddresses</formula1>
    </dataValidation>
    <dataValidation type="list" allowBlank="1" showInputMessage="1" showErrorMessage="1" sqref="L4" xr:uid="{CEA45F0C-3135-4478-A737-3504E00D6DA5}">
      <formula1>InputValues1</formula1>
    </dataValidation>
    <dataValidation type="list" allowBlank="1" showInputMessage="1" showErrorMessage="1" sqref="P4" xr:uid="{A6A615D3-FBF3-4E88-9C12-C8A1363256C1}">
      <formula1>InputValues2</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E1B91-CA57-7346-9045-F7E2F15E8547}">
  <dimension ref="A2:P43"/>
  <sheetViews>
    <sheetView topLeftCell="A20" zoomScale="110" zoomScaleNormal="110" workbookViewId="0">
      <selection activeCell="G16" sqref="G16"/>
    </sheetView>
  </sheetViews>
  <sheetFormatPr baseColWidth="10" defaultColWidth="11" defaultRowHeight="16"/>
  <cols>
    <col min="1" max="1" width="8.5" customWidth="1"/>
    <col min="2" max="2" width="48" customWidth="1"/>
    <col min="5" max="5" width="11.5" customWidth="1"/>
    <col min="13" max="13" width="3.5" customWidth="1"/>
  </cols>
  <sheetData>
    <row r="2" spans="1:16" ht="19">
      <c r="A2" s="124" t="s">
        <v>121</v>
      </c>
    </row>
    <row r="3" spans="1:16" ht="19">
      <c r="A3" s="124"/>
    </row>
    <row r="4" spans="1:16" ht="19">
      <c r="A4" s="12" t="s">
        <v>60</v>
      </c>
    </row>
    <row r="5" spans="1:16" ht="20" thickBot="1">
      <c r="B5" s="95"/>
      <c r="G5" s="1"/>
      <c r="H5" s="1"/>
      <c r="I5" s="1"/>
      <c r="J5" s="1"/>
      <c r="K5" s="1"/>
      <c r="L5" s="1"/>
      <c r="M5" s="1"/>
      <c r="N5" s="1"/>
      <c r="O5" s="1"/>
      <c r="P5" s="1"/>
    </row>
    <row r="6" spans="1:16" ht="52" thickBot="1">
      <c r="B6" s="96" t="s">
        <v>0</v>
      </c>
      <c r="C6" s="82" t="s">
        <v>115</v>
      </c>
      <c r="D6" s="51" t="s">
        <v>16</v>
      </c>
      <c r="E6" s="82" t="s">
        <v>122</v>
      </c>
    </row>
    <row r="7" spans="1:16">
      <c r="B7" s="59" t="s">
        <v>17</v>
      </c>
      <c r="C7" s="16" t="s">
        <v>27</v>
      </c>
      <c r="D7" s="83">
        <v>0</v>
      </c>
      <c r="E7" s="60">
        <f>(38*7)</f>
        <v>266</v>
      </c>
    </row>
    <row r="8" spans="1:16">
      <c r="B8" s="55" t="s">
        <v>18</v>
      </c>
      <c r="C8" s="8" t="s">
        <v>28</v>
      </c>
      <c r="D8" s="84">
        <v>0</v>
      </c>
      <c r="E8" s="56">
        <f t="shared" ref="E8:E9" si="0">(38*7)</f>
        <v>266</v>
      </c>
    </row>
    <row r="9" spans="1:16">
      <c r="B9" s="55" t="s">
        <v>19</v>
      </c>
      <c r="C9" s="8" t="s">
        <v>29</v>
      </c>
      <c r="D9" s="84">
        <v>0</v>
      </c>
      <c r="E9" s="56">
        <f t="shared" si="0"/>
        <v>266</v>
      </c>
    </row>
    <row r="10" spans="1:16">
      <c r="B10" s="55" t="s">
        <v>20</v>
      </c>
      <c r="C10" s="8" t="s">
        <v>30</v>
      </c>
      <c r="D10" s="84">
        <v>4</v>
      </c>
      <c r="E10" s="56">
        <f>(4*21)</f>
        <v>84</v>
      </c>
    </row>
    <row r="11" spans="1:16">
      <c r="B11" s="55" t="s">
        <v>21</v>
      </c>
      <c r="C11" s="8" t="s">
        <v>31</v>
      </c>
      <c r="D11" s="84">
        <v>2</v>
      </c>
      <c r="E11" s="56">
        <f t="shared" ref="E11:E16" si="1">(4*21)</f>
        <v>84</v>
      </c>
    </row>
    <row r="12" spans="1:16">
      <c r="B12" s="55" t="s">
        <v>22</v>
      </c>
      <c r="C12" s="8" t="s">
        <v>32</v>
      </c>
      <c r="D12" s="84">
        <v>0</v>
      </c>
      <c r="E12" s="56">
        <f t="shared" si="1"/>
        <v>84</v>
      </c>
    </row>
    <row r="13" spans="1:16">
      <c r="B13" s="55" t="s">
        <v>23</v>
      </c>
      <c r="C13" s="8" t="s">
        <v>33</v>
      </c>
      <c r="D13" s="84">
        <v>2</v>
      </c>
      <c r="E13" s="56">
        <f t="shared" si="1"/>
        <v>84</v>
      </c>
    </row>
    <row r="14" spans="1:16">
      <c r="B14" s="55" t="s">
        <v>24</v>
      </c>
      <c r="C14" s="8" t="s">
        <v>34</v>
      </c>
      <c r="D14" s="84">
        <v>1</v>
      </c>
      <c r="E14" s="56">
        <f t="shared" si="1"/>
        <v>84</v>
      </c>
    </row>
    <row r="15" spans="1:16">
      <c r="B15" s="55" t="s">
        <v>25</v>
      </c>
      <c r="C15" s="8" t="s">
        <v>35</v>
      </c>
      <c r="D15" s="84">
        <v>0</v>
      </c>
      <c r="E15" s="56">
        <f t="shared" si="1"/>
        <v>84</v>
      </c>
    </row>
    <row r="16" spans="1:16" ht="17" thickBot="1">
      <c r="B16" s="57" t="s">
        <v>26</v>
      </c>
      <c r="C16" s="18" t="s">
        <v>36</v>
      </c>
      <c r="D16" s="85">
        <v>3</v>
      </c>
      <c r="E16" s="58">
        <f t="shared" si="1"/>
        <v>84</v>
      </c>
    </row>
    <row r="17" spans="2:16" ht="17" thickBot="1">
      <c r="B17" s="2"/>
    </row>
    <row r="18" spans="2:16" ht="17" thickBot="1">
      <c r="B18" s="213" t="s">
        <v>11</v>
      </c>
      <c r="C18" s="214"/>
      <c r="D18" s="214"/>
      <c r="E18" s="86">
        <f>SUMPRODUCT(E7:E16,D7:D16)</f>
        <v>1008</v>
      </c>
    </row>
    <row r="19" spans="2:16">
      <c r="B19" s="87"/>
      <c r="C19" s="87"/>
      <c r="D19" s="87"/>
      <c r="E19" s="88"/>
    </row>
    <row r="20" spans="2:16" ht="17" thickBot="1">
      <c r="B20" s="89" t="s">
        <v>117</v>
      </c>
      <c r="E20" s="3"/>
    </row>
    <row r="21" spans="2:16" ht="17" thickBot="1">
      <c r="B21" s="51" t="s">
        <v>116</v>
      </c>
      <c r="C21" s="68" t="s">
        <v>37</v>
      </c>
      <c r="D21" s="19" t="s">
        <v>38</v>
      </c>
      <c r="E21" s="19" t="s">
        <v>39</v>
      </c>
      <c r="F21" s="19" t="s">
        <v>124</v>
      </c>
      <c r="G21" s="19" t="s">
        <v>41</v>
      </c>
      <c r="H21" s="19" t="s">
        <v>42</v>
      </c>
      <c r="I21" s="19" t="s">
        <v>43</v>
      </c>
      <c r="J21" s="19" t="s">
        <v>44</v>
      </c>
      <c r="K21" s="19" t="s">
        <v>45</v>
      </c>
      <c r="L21" s="19" t="s">
        <v>46</v>
      </c>
      <c r="N21" s="9" t="s">
        <v>119</v>
      </c>
      <c r="O21" s="9"/>
      <c r="P21" s="9"/>
    </row>
    <row r="22" spans="2:16">
      <c r="B22" s="71" t="s">
        <v>17</v>
      </c>
      <c r="C22" s="74">
        <f>$D$7</f>
        <v>0</v>
      </c>
      <c r="D22" s="75">
        <f t="shared" ref="D22:F22" si="2">$D$7</f>
        <v>0</v>
      </c>
      <c r="E22" s="75">
        <f t="shared" si="2"/>
        <v>0</v>
      </c>
      <c r="F22" s="75">
        <f t="shared" si="2"/>
        <v>0</v>
      </c>
      <c r="G22" s="77" t="s">
        <v>47</v>
      </c>
      <c r="H22" s="75">
        <f>$D$7</f>
        <v>0</v>
      </c>
      <c r="I22" s="75">
        <f t="shared" ref="I22:J22" si="3">$D$7</f>
        <v>0</v>
      </c>
      <c r="J22" s="75">
        <f t="shared" si="3"/>
        <v>0</v>
      </c>
      <c r="K22" s="65"/>
      <c r="L22" s="66"/>
      <c r="N22" s="91"/>
      <c r="O22" s="92" t="s">
        <v>120</v>
      </c>
      <c r="P22" s="92"/>
    </row>
    <row r="23" spans="2:16">
      <c r="B23" s="72" t="s">
        <v>18</v>
      </c>
      <c r="C23" s="69"/>
      <c r="D23" s="75">
        <f>$D8</f>
        <v>0</v>
      </c>
      <c r="E23" s="75">
        <f t="shared" ref="E23:L24" si="4">$D8</f>
        <v>0</v>
      </c>
      <c r="F23" s="75">
        <f t="shared" si="4"/>
        <v>0</v>
      </c>
      <c r="G23" s="75">
        <f t="shared" si="4"/>
        <v>0</v>
      </c>
      <c r="H23" s="77" t="s">
        <v>47</v>
      </c>
      <c r="I23" s="75">
        <f t="shared" si="4"/>
        <v>0</v>
      </c>
      <c r="J23" s="75">
        <f t="shared" si="4"/>
        <v>0</v>
      </c>
      <c r="K23" s="75">
        <f t="shared" si="4"/>
        <v>0</v>
      </c>
      <c r="L23" s="66"/>
      <c r="N23" s="93"/>
      <c r="O23" s="94" t="s">
        <v>118</v>
      </c>
      <c r="P23" s="94"/>
    </row>
    <row r="24" spans="2:16">
      <c r="B24" s="72" t="s">
        <v>19</v>
      </c>
      <c r="C24" s="69"/>
      <c r="D24" s="65"/>
      <c r="E24" s="75">
        <f t="shared" si="4"/>
        <v>0</v>
      </c>
      <c r="F24" s="75">
        <f t="shared" si="4"/>
        <v>0</v>
      </c>
      <c r="G24" s="75">
        <f t="shared" si="4"/>
        <v>0</v>
      </c>
      <c r="H24" s="75">
        <f t="shared" si="4"/>
        <v>0</v>
      </c>
      <c r="I24" s="77" t="s">
        <v>47</v>
      </c>
      <c r="J24" s="75">
        <f t="shared" si="4"/>
        <v>0</v>
      </c>
      <c r="K24" s="75">
        <f t="shared" si="4"/>
        <v>0</v>
      </c>
      <c r="L24" s="76">
        <f t="shared" si="4"/>
        <v>0</v>
      </c>
    </row>
    <row r="25" spans="2:16">
      <c r="B25" s="72" t="s">
        <v>20</v>
      </c>
      <c r="C25" s="78">
        <f>$D10</f>
        <v>4</v>
      </c>
      <c r="D25" s="79">
        <f t="shared" ref="D25:L31" si="5">$D10</f>
        <v>4</v>
      </c>
      <c r="E25" s="79">
        <f t="shared" si="5"/>
        <v>4</v>
      </c>
      <c r="F25" s="79">
        <f t="shared" si="5"/>
        <v>4</v>
      </c>
      <c r="G25" s="65"/>
      <c r="H25" s="65"/>
      <c r="I25" s="65"/>
      <c r="J25" s="65"/>
      <c r="K25" s="65"/>
      <c r="L25" s="66"/>
    </row>
    <row r="26" spans="2:16">
      <c r="B26" s="72" t="s">
        <v>21</v>
      </c>
      <c r="C26" s="69"/>
      <c r="D26" s="79">
        <f t="shared" si="5"/>
        <v>2</v>
      </c>
      <c r="E26" s="79">
        <f t="shared" si="5"/>
        <v>2</v>
      </c>
      <c r="F26" s="79">
        <f t="shared" si="5"/>
        <v>2</v>
      </c>
      <c r="G26" s="79">
        <f t="shared" si="5"/>
        <v>2</v>
      </c>
      <c r="H26" s="65"/>
      <c r="I26" s="65"/>
      <c r="J26" s="65"/>
      <c r="K26" s="65"/>
      <c r="L26" s="66"/>
    </row>
    <row r="27" spans="2:16">
      <c r="B27" s="72" t="s">
        <v>22</v>
      </c>
      <c r="C27" s="69"/>
      <c r="D27" s="65"/>
      <c r="E27" s="79">
        <f t="shared" si="5"/>
        <v>0</v>
      </c>
      <c r="F27" s="79">
        <f t="shared" si="5"/>
        <v>0</v>
      </c>
      <c r="G27" s="79">
        <f t="shared" si="5"/>
        <v>0</v>
      </c>
      <c r="H27" s="79">
        <f t="shared" si="5"/>
        <v>0</v>
      </c>
      <c r="I27" s="65"/>
      <c r="J27" s="65"/>
      <c r="K27" s="65"/>
      <c r="L27" s="66"/>
    </row>
    <row r="28" spans="2:16">
      <c r="B28" s="72" t="s">
        <v>23</v>
      </c>
      <c r="C28" s="69"/>
      <c r="D28" s="65"/>
      <c r="E28" s="65"/>
      <c r="F28" s="79">
        <f t="shared" si="5"/>
        <v>2</v>
      </c>
      <c r="G28" s="79">
        <f t="shared" si="5"/>
        <v>2</v>
      </c>
      <c r="H28" s="79">
        <f t="shared" si="5"/>
        <v>2</v>
      </c>
      <c r="I28" s="79">
        <f t="shared" si="5"/>
        <v>2</v>
      </c>
      <c r="J28" s="65"/>
      <c r="K28" s="65"/>
      <c r="L28" s="66"/>
    </row>
    <row r="29" spans="2:16">
      <c r="B29" s="72" t="s">
        <v>24</v>
      </c>
      <c r="C29" s="69"/>
      <c r="D29" s="65"/>
      <c r="E29" s="65"/>
      <c r="F29" s="65"/>
      <c r="G29" s="79">
        <f t="shared" si="5"/>
        <v>1</v>
      </c>
      <c r="H29" s="79">
        <f t="shared" si="5"/>
        <v>1</v>
      </c>
      <c r="I29" s="79">
        <f t="shared" si="5"/>
        <v>1</v>
      </c>
      <c r="J29" s="79">
        <f t="shared" si="5"/>
        <v>1</v>
      </c>
      <c r="K29" s="65"/>
      <c r="L29" s="66"/>
    </row>
    <row r="30" spans="2:16">
      <c r="B30" s="72" t="s">
        <v>25</v>
      </c>
      <c r="C30" s="69"/>
      <c r="D30" s="65"/>
      <c r="E30" s="65"/>
      <c r="F30" s="65"/>
      <c r="G30" s="65"/>
      <c r="H30" s="79">
        <f t="shared" si="5"/>
        <v>0</v>
      </c>
      <c r="I30" s="79">
        <f t="shared" si="5"/>
        <v>0</v>
      </c>
      <c r="J30" s="79">
        <f t="shared" si="5"/>
        <v>0</v>
      </c>
      <c r="K30" s="79">
        <f t="shared" si="5"/>
        <v>0</v>
      </c>
      <c r="L30" s="66"/>
    </row>
    <row r="31" spans="2:16" ht="17" thickBot="1">
      <c r="B31" s="73" t="s">
        <v>26</v>
      </c>
      <c r="C31" s="70"/>
      <c r="D31" s="67"/>
      <c r="E31" s="67"/>
      <c r="F31" s="67"/>
      <c r="G31" s="67"/>
      <c r="H31" s="67"/>
      <c r="I31" s="80">
        <f t="shared" si="5"/>
        <v>3</v>
      </c>
      <c r="J31" s="80">
        <f t="shared" si="5"/>
        <v>3</v>
      </c>
      <c r="K31" s="80">
        <f t="shared" si="5"/>
        <v>3</v>
      </c>
      <c r="L31" s="81">
        <f t="shared" si="5"/>
        <v>3</v>
      </c>
    </row>
    <row r="32" spans="2:16" ht="17" thickBot="1">
      <c r="B32" s="4"/>
    </row>
    <row r="33" spans="2:5" ht="17" thickBot="1">
      <c r="B33" s="97" t="s">
        <v>12</v>
      </c>
      <c r="C33" s="17" t="s">
        <v>13</v>
      </c>
      <c r="D33" s="17"/>
      <c r="E33" s="17" t="s">
        <v>14</v>
      </c>
    </row>
    <row r="34" spans="2:5">
      <c r="B34" s="59" t="s">
        <v>1</v>
      </c>
      <c r="C34" s="107">
        <f>SUM(D7,D10)</f>
        <v>4</v>
      </c>
      <c r="D34" s="16" t="s">
        <v>15</v>
      </c>
      <c r="E34" s="110">
        <v>4</v>
      </c>
    </row>
    <row r="35" spans="2:5">
      <c r="B35" s="55" t="s">
        <v>2</v>
      </c>
      <c r="C35" s="108">
        <f>SUM(D7:D8,D10:D11)</f>
        <v>6</v>
      </c>
      <c r="D35" s="8" t="s">
        <v>15</v>
      </c>
      <c r="E35" s="111">
        <v>4</v>
      </c>
    </row>
    <row r="36" spans="2:5">
      <c r="B36" s="55" t="s">
        <v>3</v>
      </c>
      <c r="C36" s="108">
        <f>SUM(D7:D9,D10:D12)</f>
        <v>6</v>
      </c>
      <c r="D36" s="8" t="s">
        <v>15</v>
      </c>
      <c r="E36" s="111">
        <v>3</v>
      </c>
    </row>
    <row r="37" spans="2:5">
      <c r="B37" s="55" t="s">
        <v>4</v>
      </c>
      <c r="C37" s="108">
        <f>SUM(D7:D9,D10:D13)</f>
        <v>8</v>
      </c>
      <c r="D37" s="8" t="s">
        <v>15</v>
      </c>
      <c r="E37" s="111">
        <v>5</v>
      </c>
    </row>
    <row r="38" spans="2:5">
      <c r="B38" s="55" t="s">
        <v>5</v>
      </c>
      <c r="C38" s="108">
        <f>SUM(D8:D9,D11:D14)</f>
        <v>5</v>
      </c>
      <c r="D38" s="8" t="s">
        <v>15</v>
      </c>
      <c r="E38" s="111">
        <v>5</v>
      </c>
    </row>
    <row r="39" spans="2:5">
      <c r="B39" s="55" t="s">
        <v>6</v>
      </c>
      <c r="C39" s="108">
        <f>SUM(D7,D9,D12,D13,D14,D15)</f>
        <v>3</v>
      </c>
      <c r="D39" s="8" t="s">
        <v>15</v>
      </c>
      <c r="E39" s="111">
        <v>3</v>
      </c>
    </row>
    <row r="40" spans="2:5">
      <c r="B40" s="55" t="s">
        <v>7</v>
      </c>
      <c r="C40" s="108">
        <f>SUM(D7,D8,D13,D14,D15,D16)</f>
        <v>6</v>
      </c>
      <c r="D40" s="8" t="s">
        <v>15</v>
      </c>
      <c r="E40" s="111">
        <v>4</v>
      </c>
    </row>
    <row r="41" spans="2:5">
      <c r="B41" s="55" t="s">
        <v>8</v>
      </c>
      <c r="C41" s="108">
        <f>SUM(D7,D8,D9,D14,D15,D16)</f>
        <v>4</v>
      </c>
      <c r="D41" s="8" t="s">
        <v>15</v>
      </c>
      <c r="E41" s="111">
        <v>4</v>
      </c>
    </row>
    <row r="42" spans="2:5">
      <c r="B42" s="55" t="s">
        <v>9</v>
      </c>
      <c r="C42" s="108">
        <f>SUM(D8,D9,D15,D16)</f>
        <v>3</v>
      </c>
      <c r="D42" s="8" t="s">
        <v>15</v>
      </c>
      <c r="E42" s="111">
        <v>3</v>
      </c>
    </row>
    <row r="43" spans="2:5" ht="17" thickBot="1">
      <c r="B43" s="57" t="s">
        <v>10</v>
      </c>
      <c r="C43" s="109">
        <f>SUM(D9,D16)</f>
        <v>3</v>
      </c>
      <c r="D43" s="18" t="s">
        <v>15</v>
      </c>
      <c r="E43" s="112">
        <v>3</v>
      </c>
    </row>
  </sheetData>
  <mergeCells count="1">
    <mergeCell ref="B18:D18"/>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7199C-5012-5841-BCBD-55CCC2910D40}">
  <dimension ref="A2:Q68"/>
  <sheetViews>
    <sheetView topLeftCell="A29" zoomScaleNormal="100" workbookViewId="0">
      <selection activeCell="J61" sqref="J61"/>
    </sheetView>
  </sheetViews>
  <sheetFormatPr baseColWidth="10" defaultColWidth="11" defaultRowHeight="16"/>
  <cols>
    <col min="2" max="2" width="47.1640625" customWidth="1"/>
    <col min="5" max="5" width="12.33203125" customWidth="1"/>
    <col min="13" max="13" width="4" customWidth="1"/>
  </cols>
  <sheetData>
    <row r="2" spans="1:17" ht="58" customHeight="1">
      <c r="A2" s="215" t="s">
        <v>123</v>
      </c>
      <c r="B2" s="216"/>
      <c r="C2" s="216"/>
      <c r="D2" s="216"/>
      <c r="E2" s="216"/>
      <c r="F2" s="216"/>
      <c r="G2" s="216"/>
      <c r="H2" s="216"/>
      <c r="I2" s="216"/>
      <c r="J2" s="216"/>
      <c r="K2" s="216"/>
      <c r="L2" s="216"/>
      <c r="M2" s="216"/>
      <c r="N2" s="216"/>
      <c r="O2" s="216"/>
    </row>
    <row r="4" spans="1:17" ht="17" thickBot="1">
      <c r="H4" s="1"/>
      <c r="I4" s="1"/>
      <c r="J4" s="1"/>
      <c r="K4" s="1"/>
      <c r="L4" s="1"/>
      <c r="M4" s="1"/>
      <c r="N4" s="1"/>
      <c r="O4" s="1"/>
      <c r="P4" s="1"/>
      <c r="Q4" s="1"/>
    </row>
    <row r="5" spans="1:17" ht="52" thickBot="1">
      <c r="B5" s="96" t="s">
        <v>0</v>
      </c>
      <c r="C5" s="82" t="s">
        <v>115</v>
      </c>
      <c r="D5" s="51" t="s">
        <v>16</v>
      </c>
      <c r="E5" s="82" t="s">
        <v>122</v>
      </c>
    </row>
    <row r="6" spans="1:17">
      <c r="B6" s="59" t="s">
        <v>17</v>
      </c>
      <c r="C6" s="23" t="s">
        <v>77</v>
      </c>
      <c r="D6" s="83">
        <v>2</v>
      </c>
      <c r="E6" s="98">
        <f>(38*7)</f>
        <v>266</v>
      </c>
    </row>
    <row r="7" spans="1:17">
      <c r="B7" s="55" t="s">
        <v>18</v>
      </c>
      <c r="C7" s="5" t="s">
        <v>78</v>
      </c>
      <c r="D7" s="84">
        <v>0</v>
      </c>
      <c r="E7" s="99">
        <f t="shared" ref="E7:E8" si="0">(38*7)</f>
        <v>266</v>
      </c>
    </row>
    <row r="8" spans="1:17">
      <c r="B8" s="55" t="s">
        <v>19</v>
      </c>
      <c r="C8" s="5" t="s">
        <v>79</v>
      </c>
      <c r="D8" s="84">
        <v>3</v>
      </c>
      <c r="E8" s="99">
        <f t="shared" si="0"/>
        <v>266</v>
      </c>
    </row>
    <row r="9" spans="1:17">
      <c r="B9" s="55" t="s">
        <v>20</v>
      </c>
      <c r="C9" s="5" t="s">
        <v>80</v>
      </c>
      <c r="D9" s="84">
        <v>2</v>
      </c>
      <c r="E9" s="99">
        <f>(4*21)</f>
        <v>84</v>
      </c>
    </row>
    <row r="10" spans="1:17">
      <c r="B10" s="55" t="s">
        <v>21</v>
      </c>
      <c r="C10" s="5" t="s">
        <v>81</v>
      </c>
      <c r="D10" s="84">
        <v>0</v>
      </c>
      <c r="E10" s="99">
        <f t="shared" ref="E10:E15" si="1">(4*21)</f>
        <v>84</v>
      </c>
    </row>
    <row r="11" spans="1:17">
      <c r="B11" s="55" t="s">
        <v>22</v>
      </c>
      <c r="C11" s="5" t="s">
        <v>82</v>
      </c>
      <c r="D11" s="84">
        <v>0</v>
      </c>
      <c r="E11" s="99">
        <f t="shared" si="1"/>
        <v>84</v>
      </c>
    </row>
    <row r="12" spans="1:17">
      <c r="B12" s="55" t="s">
        <v>23</v>
      </c>
      <c r="C12" s="5" t="s">
        <v>83</v>
      </c>
      <c r="D12" s="84">
        <v>2</v>
      </c>
      <c r="E12" s="99">
        <f t="shared" si="1"/>
        <v>84</v>
      </c>
    </row>
    <row r="13" spans="1:17">
      <c r="B13" s="55" t="s">
        <v>24</v>
      </c>
      <c r="C13" s="5" t="s">
        <v>84</v>
      </c>
      <c r="D13" s="84">
        <v>0</v>
      </c>
      <c r="E13" s="99">
        <f t="shared" si="1"/>
        <v>84</v>
      </c>
    </row>
    <row r="14" spans="1:17">
      <c r="B14" s="55" t="s">
        <v>25</v>
      </c>
      <c r="C14" s="5" t="s">
        <v>85</v>
      </c>
      <c r="D14" s="84">
        <v>0</v>
      </c>
      <c r="E14" s="99">
        <f t="shared" si="1"/>
        <v>84</v>
      </c>
    </row>
    <row r="15" spans="1:17" ht="17" thickBot="1">
      <c r="B15" s="57" t="s">
        <v>26</v>
      </c>
      <c r="C15" s="35" t="s">
        <v>86</v>
      </c>
      <c r="D15" s="85">
        <v>0</v>
      </c>
      <c r="E15" s="100">
        <f t="shared" si="1"/>
        <v>84</v>
      </c>
    </row>
    <row r="16" spans="1:17" ht="17" thickBot="1">
      <c r="B16" s="2"/>
    </row>
    <row r="17" spans="2:16" ht="17" thickBot="1">
      <c r="B17" s="213" t="s">
        <v>11</v>
      </c>
      <c r="C17" s="214"/>
      <c r="D17" s="214"/>
      <c r="E17" s="86">
        <f>SUMPRODUCT(E6:E15,D6:D15)</f>
        <v>1666</v>
      </c>
    </row>
    <row r="18" spans="2:16">
      <c r="B18" s="87"/>
      <c r="C18" s="87"/>
      <c r="D18" s="87"/>
      <c r="E18" s="101"/>
    </row>
    <row r="19" spans="2:16" ht="17" thickBot="1">
      <c r="B19" s="89" t="s">
        <v>117</v>
      </c>
      <c r="E19" s="3"/>
    </row>
    <row r="20" spans="2:16" ht="17" thickBot="1">
      <c r="B20" s="51" t="s">
        <v>116</v>
      </c>
      <c r="C20" s="68" t="s">
        <v>37</v>
      </c>
      <c r="D20" s="19" t="s">
        <v>38</v>
      </c>
      <c r="E20" s="19" t="s">
        <v>39</v>
      </c>
      <c r="F20" s="19" t="s">
        <v>124</v>
      </c>
      <c r="G20" s="19" t="s">
        <v>41</v>
      </c>
      <c r="H20" s="19" t="s">
        <v>42</v>
      </c>
      <c r="I20" s="19" t="s">
        <v>43</v>
      </c>
      <c r="J20" s="19" t="s">
        <v>44</v>
      </c>
      <c r="K20" s="19" t="s">
        <v>45</v>
      </c>
      <c r="L20" s="19" t="s">
        <v>46</v>
      </c>
      <c r="N20" s="9" t="s">
        <v>119</v>
      </c>
      <c r="O20" s="9"/>
      <c r="P20" s="9"/>
    </row>
    <row r="21" spans="2:16">
      <c r="B21" s="64" t="s">
        <v>17</v>
      </c>
      <c r="C21" s="102">
        <f>$D$6</f>
        <v>2</v>
      </c>
      <c r="D21" s="102">
        <f t="shared" ref="D21:F21" si="2">$D$6</f>
        <v>2</v>
      </c>
      <c r="E21" s="102">
        <f t="shared" si="2"/>
        <v>2</v>
      </c>
      <c r="F21" s="102">
        <f t="shared" si="2"/>
        <v>2</v>
      </c>
      <c r="G21" s="106" t="s">
        <v>47</v>
      </c>
      <c r="H21" s="75">
        <f>$D$6</f>
        <v>2</v>
      </c>
      <c r="I21" s="75">
        <f t="shared" ref="I21:J21" si="3">$D$6</f>
        <v>2</v>
      </c>
      <c r="J21" s="75">
        <f t="shared" si="3"/>
        <v>2</v>
      </c>
      <c r="K21" s="5"/>
      <c r="L21" s="28"/>
      <c r="N21" s="91"/>
      <c r="O21" s="92" t="s">
        <v>120</v>
      </c>
      <c r="P21" s="92"/>
    </row>
    <row r="22" spans="2:16">
      <c r="B22" s="62" t="s">
        <v>18</v>
      </c>
      <c r="C22" s="5"/>
      <c r="D22" s="75">
        <f>$D7</f>
        <v>0</v>
      </c>
      <c r="E22" s="75">
        <f t="shared" ref="E22:L23" si="4">$D7</f>
        <v>0</v>
      </c>
      <c r="F22" s="75">
        <f t="shared" si="4"/>
        <v>0</v>
      </c>
      <c r="G22" s="75">
        <f t="shared" si="4"/>
        <v>0</v>
      </c>
      <c r="H22" s="106" t="s">
        <v>47</v>
      </c>
      <c r="I22" s="75">
        <f t="shared" si="4"/>
        <v>0</v>
      </c>
      <c r="J22" s="75">
        <f t="shared" si="4"/>
        <v>0</v>
      </c>
      <c r="K22" s="75">
        <f t="shared" si="4"/>
        <v>0</v>
      </c>
      <c r="L22" s="28"/>
      <c r="N22" s="93"/>
      <c r="O22" s="94" t="s">
        <v>118</v>
      </c>
      <c r="P22" s="94"/>
    </row>
    <row r="23" spans="2:16">
      <c r="B23" s="62" t="s">
        <v>19</v>
      </c>
      <c r="C23" s="5"/>
      <c r="D23" s="5"/>
      <c r="E23" s="75">
        <f t="shared" si="4"/>
        <v>3</v>
      </c>
      <c r="F23" s="75">
        <f t="shared" si="4"/>
        <v>3</v>
      </c>
      <c r="G23" s="75">
        <f t="shared" si="4"/>
        <v>3</v>
      </c>
      <c r="H23" s="75">
        <f t="shared" si="4"/>
        <v>3</v>
      </c>
      <c r="I23" s="106" t="s">
        <v>47</v>
      </c>
      <c r="J23" s="75">
        <f t="shared" si="4"/>
        <v>3</v>
      </c>
      <c r="K23" s="75">
        <f t="shared" si="4"/>
        <v>3</v>
      </c>
      <c r="L23" s="76">
        <f t="shared" si="4"/>
        <v>3</v>
      </c>
    </row>
    <row r="24" spans="2:16">
      <c r="B24" s="62" t="s">
        <v>20</v>
      </c>
      <c r="C24" s="103">
        <f>$D9</f>
        <v>2</v>
      </c>
      <c r="D24" s="103">
        <f t="shared" ref="D24:L30" si="5">$D9</f>
        <v>2</v>
      </c>
      <c r="E24" s="103">
        <f t="shared" si="5"/>
        <v>2</v>
      </c>
      <c r="F24" s="103">
        <f t="shared" si="5"/>
        <v>2</v>
      </c>
      <c r="G24" s="5"/>
      <c r="H24" s="5"/>
      <c r="I24" s="5"/>
      <c r="J24" s="5"/>
      <c r="K24" s="5"/>
      <c r="L24" s="28"/>
    </row>
    <row r="25" spans="2:16">
      <c r="B25" s="62" t="s">
        <v>21</v>
      </c>
      <c r="C25" s="5"/>
      <c r="D25" s="103">
        <f t="shared" si="5"/>
        <v>0</v>
      </c>
      <c r="E25" s="103">
        <f t="shared" si="5"/>
        <v>0</v>
      </c>
      <c r="F25" s="103">
        <f t="shared" si="5"/>
        <v>0</v>
      </c>
      <c r="G25" s="103">
        <f t="shared" si="5"/>
        <v>0</v>
      </c>
      <c r="H25" s="5"/>
      <c r="I25" s="5"/>
      <c r="J25" s="5"/>
      <c r="K25" s="5"/>
      <c r="L25" s="28"/>
    </row>
    <row r="26" spans="2:16">
      <c r="B26" s="62" t="s">
        <v>22</v>
      </c>
      <c r="C26" s="5"/>
      <c r="D26" s="5"/>
      <c r="E26" s="103">
        <f t="shared" si="5"/>
        <v>0</v>
      </c>
      <c r="F26" s="103">
        <f t="shared" si="5"/>
        <v>0</v>
      </c>
      <c r="G26" s="103">
        <f t="shared" si="5"/>
        <v>0</v>
      </c>
      <c r="H26" s="103">
        <f t="shared" si="5"/>
        <v>0</v>
      </c>
      <c r="I26" s="5"/>
      <c r="J26" s="5"/>
      <c r="K26" s="5"/>
      <c r="L26" s="28"/>
    </row>
    <row r="27" spans="2:16">
      <c r="B27" s="62" t="s">
        <v>23</v>
      </c>
      <c r="C27" s="5"/>
      <c r="D27" s="5"/>
      <c r="E27" s="5"/>
      <c r="F27" s="103">
        <f t="shared" si="5"/>
        <v>2</v>
      </c>
      <c r="G27" s="103">
        <f t="shared" si="5"/>
        <v>2</v>
      </c>
      <c r="H27" s="103">
        <f t="shared" si="5"/>
        <v>2</v>
      </c>
      <c r="I27" s="103">
        <f t="shared" si="5"/>
        <v>2</v>
      </c>
      <c r="J27" s="5"/>
      <c r="K27" s="5"/>
      <c r="L27" s="28"/>
    </row>
    <row r="28" spans="2:16">
      <c r="B28" s="62" t="s">
        <v>24</v>
      </c>
      <c r="C28" s="5"/>
      <c r="D28" s="5"/>
      <c r="E28" s="5"/>
      <c r="F28" s="5"/>
      <c r="G28" s="103">
        <f t="shared" si="5"/>
        <v>0</v>
      </c>
      <c r="H28" s="103">
        <f t="shared" si="5"/>
        <v>0</v>
      </c>
      <c r="I28" s="103">
        <f t="shared" si="5"/>
        <v>0</v>
      </c>
      <c r="J28" s="103">
        <f t="shared" si="5"/>
        <v>0</v>
      </c>
      <c r="K28" s="5"/>
      <c r="L28" s="28"/>
    </row>
    <row r="29" spans="2:16">
      <c r="B29" s="62" t="s">
        <v>25</v>
      </c>
      <c r="C29" s="5"/>
      <c r="D29" s="5"/>
      <c r="E29" s="5"/>
      <c r="F29" s="5"/>
      <c r="G29" s="5"/>
      <c r="H29" s="103">
        <f t="shared" si="5"/>
        <v>0</v>
      </c>
      <c r="I29" s="103">
        <f t="shared" si="5"/>
        <v>0</v>
      </c>
      <c r="J29" s="103">
        <f t="shared" si="5"/>
        <v>0</v>
      </c>
      <c r="K29" s="103">
        <f t="shared" si="5"/>
        <v>0</v>
      </c>
      <c r="L29" s="28"/>
    </row>
    <row r="30" spans="2:16" ht="17" thickBot="1">
      <c r="B30" s="63" t="s">
        <v>26</v>
      </c>
      <c r="C30" s="35"/>
      <c r="D30" s="35"/>
      <c r="E30" s="35"/>
      <c r="F30" s="35"/>
      <c r="G30" s="35"/>
      <c r="H30" s="35"/>
      <c r="I30" s="104">
        <f t="shared" si="5"/>
        <v>0</v>
      </c>
      <c r="J30" s="104">
        <f t="shared" si="5"/>
        <v>0</v>
      </c>
      <c r="K30" s="104">
        <f t="shared" si="5"/>
        <v>0</v>
      </c>
      <c r="L30" s="105">
        <f t="shared" si="5"/>
        <v>0</v>
      </c>
    </row>
    <row r="31" spans="2:16">
      <c r="B31" s="4"/>
      <c r="C31" s="6"/>
      <c r="D31" s="6"/>
      <c r="E31" s="6"/>
      <c r="F31" s="6"/>
      <c r="G31" s="6"/>
      <c r="H31" s="6"/>
      <c r="I31" s="6"/>
      <c r="J31" s="6"/>
      <c r="K31" s="6"/>
      <c r="L31" s="6"/>
    </row>
    <row r="32" spans="2:16" ht="17" thickBot="1">
      <c r="B32" s="4"/>
    </row>
    <row r="33" spans="2:5" ht="17" thickBot="1">
      <c r="B33" s="113" t="s">
        <v>12</v>
      </c>
      <c r="C33" s="51" t="s">
        <v>13</v>
      </c>
      <c r="D33" s="17"/>
      <c r="E33" s="17" t="s">
        <v>14</v>
      </c>
    </row>
    <row r="34" spans="2:5">
      <c r="B34" s="59" t="s">
        <v>1</v>
      </c>
      <c r="C34" s="114">
        <f>SUM(C21:C30)</f>
        <v>4</v>
      </c>
      <c r="D34" s="23" t="s">
        <v>15</v>
      </c>
      <c r="E34" s="110">
        <v>4</v>
      </c>
    </row>
    <row r="35" spans="2:5">
      <c r="B35" s="55" t="s">
        <v>2</v>
      </c>
      <c r="C35" s="115">
        <f>SUM(D21:D30)</f>
        <v>4</v>
      </c>
      <c r="D35" s="5" t="s">
        <v>15</v>
      </c>
      <c r="E35" s="111">
        <v>4</v>
      </c>
    </row>
    <row r="36" spans="2:5">
      <c r="B36" s="55" t="s">
        <v>3</v>
      </c>
      <c r="C36" s="115">
        <f>SUM(E21:E30)</f>
        <v>7</v>
      </c>
      <c r="D36" s="5" t="s">
        <v>15</v>
      </c>
      <c r="E36" s="111">
        <v>3</v>
      </c>
    </row>
    <row r="37" spans="2:5">
      <c r="B37" s="55" t="s">
        <v>4</v>
      </c>
      <c r="C37" s="115">
        <f>SUM(F21:F30)</f>
        <v>9</v>
      </c>
      <c r="D37" s="5" t="s">
        <v>15</v>
      </c>
      <c r="E37" s="111">
        <v>5</v>
      </c>
    </row>
    <row r="38" spans="2:5">
      <c r="B38" s="55" t="s">
        <v>5</v>
      </c>
      <c r="C38" s="115">
        <f>SUM(G21:G30)</f>
        <v>5</v>
      </c>
      <c r="D38" s="5" t="s">
        <v>15</v>
      </c>
      <c r="E38" s="111">
        <v>5</v>
      </c>
    </row>
    <row r="39" spans="2:5">
      <c r="B39" s="55" t="s">
        <v>6</v>
      </c>
      <c r="C39" s="115">
        <f>SUM(H21:H30)</f>
        <v>7</v>
      </c>
      <c r="D39" s="5" t="s">
        <v>15</v>
      </c>
      <c r="E39" s="111">
        <v>3</v>
      </c>
    </row>
    <row r="40" spans="2:5">
      <c r="B40" s="55" t="s">
        <v>7</v>
      </c>
      <c r="C40" s="115">
        <f>SUM(I21:I30)</f>
        <v>4</v>
      </c>
      <c r="D40" s="5" t="s">
        <v>15</v>
      </c>
      <c r="E40" s="111">
        <v>4</v>
      </c>
    </row>
    <row r="41" spans="2:5">
      <c r="B41" s="55" t="s">
        <v>8</v>
      </c>
      <c r="C41" s="115">
        <f>SUM(J21:J30)</f>
        <v>5</v>
      </c>
      <c r="D41" s="5" t="s">
        <v>15</v>
      </c>
      <c r="E41" s="111">
        <v>4</v>
      </c>
    </row>
    <row r="42" spans="2:5">
      <c r="B42" s="55" t="s">
        <v>9</v>
      </c>
      <c r="C42" s="115">
        <f>SUM(K21:K30)</f>
        <v>3</v>
      </c>
      <c r="D42" s="5" t="s">
        <v>15</v>
      </c>
      <c r="E42" s="111">
        <v>3</v>
      </c>
    </row>
    <row r="43" spans="2:5">
      <c r="B43" s="55" t="s">
        <v>10</v>
      </c>
      <c r="C43" s="115">
        <f>SUM(L21:L30)</f>
        <v>3</v>
      </c>
      <c r="D43" s="5" t="s">
        <v>15</v>
      </c>
      <c r="E43" s="111">
        <v>3</v>
      </c>
    </row>
    <row r="44" spans="2:5">
      <c r="B44" s="165" t="s">
        <v>48</v>
      </c>
      <c r="C44" s="166">
        <f>SUM(C21:C23)</f>
        <v>2</v>
      </c>
      <c r="D44" s="166" t="s">
        <v>15</v>
      </c>
      <c r="E44" s="167">
        <v>2</v>
      </c>
    </row>
    <row r="45" spans="2:5">
      <c r="B45" s="165" t="s">
        <v>49</v>
      </c>
      <c r="C45" s="166">
        <f>SUM(D21:D23)</f>
        <v>2</v>
      </c>
      <c r="D45" s="166" t="s">
        <v>15</v>
      </c>
      <c r="E45" s="167">
        <v>2</v>
      </c>
    </row>
    <row r="46" spans="2:5">
      <c r="B46" s="165" t="s">
        <v>50</v>
      </c>
      <c r="C46" s="166">
        <f>SUM(E21:E23)</f>
        <v>5</v>
      </c>
      <c r="D46" s="166" t="s">
        <v>15</v>
      </c>
      <c r="E46" s="167">
        <v>2</v>
      </c>
    </row>
    <row r="47" spans="2:5">
      <c r="B47" s="165" t="s">
        <v>51</v>
      </c>
      <c r="C47" s="166">
        <f>SUM(F21:F23)</f>
        <v>5</v>
      </c>
      <c r="D47" s="166" t="s">
        <v>15</v>
      </c>
      <c r="E47" s="167">
        <v>2</v>
      </c>
    </row>
    <row r="48" spans="2:5">
      <c r="B48" s="165" t="s">
        <v>52</v>
      </c>
      <c r="C48" s="166">
        <f>SUM(G21:G23)</f>
        <v>3</v>
      </c>
      <c r="D48" s="166" t="s">
        <v>15</v>
      </c>
      <c r="E48" s="167">
        <v>2</v>
      </c>
    </row>
    <row r="49" spans="2:6">
      <c r="B49" s="165" t="s">
        <v>53</v>
      </c>
      <c r="C49" s="166">
        <f>SUM(H21:H23)</f>
        <v>5</v>
      </c>
      <c r="D49" s="166" t="s">
        <v>15</v>
      </c>
      <c r="E49" s="167">
        <v>2</v>
      </c>
    </row>
    <row r="50" spans="2:6">
      <c r="B50" s="165" t="s">
        <v>54</v>
      </c>
      <c r="C50" s="166">
        <f>SUM(I21:I23)</f>
        <v>2</v>
      </c>
      <c r="D50" s="166" t="s">
        <v>15</v>
      </c>
      <c r="E50" s="167">
        <v>2</v>
      </c>
    </row>
    <row r="51" spans="2:6">
      <c r="B51" s="165" t="s">
        <v>55</v>
      </c>
      <c r="C51" s="166">
        <f>SUM(J21:J23)</f>
        <v>5</v>
      </c>
      <c r="D51" s="166" t="s">
        <v>15</v>
      </c>
      <c r="E51" s="167">
        <v>2</v>
      </c>
    </row>
    <row r="52" spans="2:6">
      <c r="B52" s="165" t="s">
        <v>56</v>
      </c>
      <c r="C52" s="166">
        <f>SUM(K21:K23)</f>
        <v>3</v>
      </c>
      <c r="D52" s="166" t="s">
        <v>15</v>
      </c>
      <c r="E52" s="167">
        <v>2</v>
      </c>
    </row>
    <row r="53" spans="2:6">
      <c r="B53" s="165" t="s">
        <v>57</v>
      </c>
      <c r="C53" s="166">
        <f>SUM(L21:L23)</f>
        <v>3</v>
      </c>
      <c r="D53" s="166" t="s">
        <v>15</v>
      </c>
      <c r="E53" s="167">
        <v>2</v>
      </c>
    </row>
    <row r="54" spans="2:6" ht="17" thickBot="1">
      <c r="B54" s="162" t="s">
        <v>58</v>
      </c>
      <c r="C54" s="163">
        <f>SUM(D6:D8)</f>
        <v>5</v>
      </c>
      <c r="D54" s="163" t="s">
        <v>15</v>
      </c>
      <c r="E54" s="164">
        <v>5</v>
      </c>
    </row>
    <row r="56" spans="2:6" ht="17" thickBot="1">
      <c r="B56" t="s">
        <v>161</v>
      </c>
    </row>
    <row r="57" spans="2:6" ht="35" thickBot="1">
      <c r="B57" s="159" t="s">
        <v>162</v>
      </c>
      <c r="C57" s="217" t="s">
        <v>104</v>
      </c>
      <c r="D57" s="218"/>
      <c r="E57" s="17"/>
      <c r="F57" s="159" t="s">
        <v>103</v>
      </c>
    </row>
    <row r="58" spans="2:6">
      <c r="B58" s="145" t="s">
        <v>48</v>
      </c>
      <c r="C58" s="212" t="s">
        <v>77</v>
      </c>
      <c r="D58" s="212"/>
      <c r="E58" s="23" t="s">
        <v>15</v>
      </c>
      <c r="F58" s="160">
        <v>2</v>
      </c>
    </row>
    <row r="59" spans="2:6">
      <c r="B59" s="143" t="s">
        <v>49</v>
      </c>
      <c r="C59" s="198" t="s">
        <v>163</v>
      </c>
      <c r="D59" s="198"/>
      <c r="E59" s="146" t="s">
        <v>15</v>
      </c>
      <c r="F59" s="158">
        <v>2</v>
      </c>
    </row>
    <row r="60" spans="2:6">
      <c r="B60" s="143" t="s">
        <v>50</v>
      </c>
      <c r="C60" s="198" t="s">
        <v>164</v>
      </c>
      <c r="D60" s="198"/>
      <c r="E60" s="146" t="s">
        <v>15</v>
      </c>
      <c r="F60" s="158">
        <v>2</v>
      </c>
    </row>
    <row r="61" spans="2:6">
      <c r="B61" s="143" t="s">
        <v>51</v>
      </c>
      <c r="C61" s="198" t="s">
        <v>164</v>
      </c>
      <c r="D61" s="198"/>
      <c r="E61" s="146" t="s">
        <v>15</v>
      </c>
      <c r="F61" s="158">
        <v>2</v>
      </c>
    </row>
    <row r="62" spans="2:6">
      <c r="B62" s="143" t="s">
        <v>52</v>
      </c>
      <c r="C62" s="198" t="s">
        <v>165</v>
      </c>
      <c r="D62" s="198"/>
      <c r="E62" s="146" t="s">
        <v>15</v>
      </c>
      <c r="F62" s="158">
        <v>2</v>
      </c>
    </row>
    <row r="63" spans="2:6">
      <c r="B63" s="143" t="s">
        <v>53</v>
      </c>
      <c r="C63" s="198" t="s">
        <v>166</v>
      </c>
      <c r="D63" s="198"/>
      <c r="E63" s="146" t="s">
        <v>15</v>
      </c>
      <c r="F63" s="158">
        <v>2</v>
      </c>
    </row>
    <row r="64" spans="2:6">
      <c r="B64" s="143" t="s">
        <v>54</v>
      </c>
      <c r="C64" s="198" t="s">
        <v>163</v>
      </c>
      <c r="D64" s="198"/>
      <c r="E64" s="146" t="s">
        <v>15</v>
      </c>
      <c r="F64" s="158">
        <v>2</v>
      </c>
    </row>
    <row r="65" spans="2:6">
      <c r="B65" s="143" t="s">
        <v>55</v>
      </c>
      <c r="C65" s="198" t="s">
        <v>164</v>
      </c>
      <c r="D65" s="198"/>
      <c r="E65" s="146" t="s">
        <v>15</v>
      </c>
      <c r="F65" s="158">
        <v>2</v>
      </c>
    </row>
    <row r="66" spans="2:6">
      <c r="B66" s="143" t="s">
        <v>56</v>
      </c>
      <c r="C66" s="198" t="s">
        <v>165</v>
      </c>
      <c r="D66" s="198"/>
      <c r="E66" s="146" t="s">
        <v>15</v>
      </c>
      <c r="F66" s="158">
        <v>2</v>
      </c>
    </row>
    <row r="67" spans="2:6">
      <c r="B67" s="143" t="s">
        <v>57</v>
      </c>
      <c r="C67" s="198" t="s">
        <v>79</v>
      </c>
      <c r="D67" s="198"/>
      <c r="E67" s="146" t="s">
        <v>15</v>
      </c>
      <c r="F67" s="158">
        <v>2</v>
      </c>
    </row>
    <row r="68" spans="2:6" ht="17" thickBot="1">
      <c r="B68" s="144" t="s">
        <v>58</v>
      </c>
      <c r="C68" s="200" t="s">
        <v>164</v>
      </c>
      <c r="D68" s="200"/>
      <c r="E68" s="35" t="s">
        <v>15</v>
      </c>
      <c r="F68" s="49">
        <v>5</v>
      </c>
    </row>
  </sheetData>
  <mergeCells count="14">
    <mergeCell ref="C67:D67"/>
    <mergeCell ref="C68:D68"/>
    <mergeCell ref="C57:D57"/>
    <mergeCell ref="C58:D58"/>
    <mergeCell ref="C59:D59"/>
    <mergeCell ref="C60:D60"/>
    <mergeCell ref="C61:D61"/>
    <mergeCell ref="C62:D62"/>
    <mergeCell ref="C63:D63"/>
    <mergeCell ref="B17:D17"/>
    <mergeCell ref="A2:O2"/>
    <mergeCell ref="C64:D64"/>
    <mergeCell ref="C65:D65"/>
    <mergeCell ref="C66:D66"/>
  </mergeCells>
  <pageMargins left="0.7" right="0.7" top="0.75" bottom="0.75" header="0.3" footer="0.3"/>
  <ignoredErrors>
    <ignoredError sqref="C54"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4363A-4450-804F-B5A6-2B440DF0CDDB}">
  <dimension ref="A1:Q114"/>
  <sheetViews>
    <sheetView topLeftCell="A51" zoomScale="110" zoomScaleNormal="80" workbookViewId="0">
      <selection activeCell="D58" sqref="D58"/>
    </sheetView>
  </sheetViews>
  <sheetFormatPr baseColWidth="10" defaultColWidth="11" defaultRowHeight="16"/>
  <cols>
    <col min="2" max="2" width="36.6640625" customWidth="1"/>
    <col min="5" max="5" width="13.83203125" customWidth="1"/>
    <col min="7" max="7" width="38.33203125" customWidth="1"/>
    <col min="9" max="9" width="9.5" customWidth="1"/>
    <col min="11" max="11" width="9.83203125" customWidth="1"/>
    <col min="13" max="13" width="6" customWidth="1"/>
    <col min="14" max="14" width="5.1640625" customWidth="1"/>
  </cols>
  <sheetData>
    <row r="1" spans="1:12" ht="57" customHeight="1">
      <c r="A1" s="219" t="s">
        <v>125</v>
      </c>
      <c r="B1" s="220"/>
      <c r="C1" s="220"/>
      <c r="D1" s="220"/>
      <c r="E1" s="220"/>
      <c r="F1" s="220"/>
      <c r="G1" s="220"/>
      <c r="H1" s="220"/>
      <c r="I1" s="220"/>
      <c r="J1" s="220"/>
      <c r="K1" s="220"/>
      <c r="L1" s="220"/>
    </row>
    <row r="3" spans="1:12" ht="17" thickBot="1"/>
    <row r="4" spans="1:12" ht="52" thickBot="1">
      <c r="B4" s="117" t="s">
        <v>0</v>
      </c>
      <c r="C4" s="118" t="s">
        <v>115</v>
      </c>
      <c r="D4" s="119" t="s">
        <v>16</v>
      </c>
      <c r="E4" s="82" t="s">
        <v>122</v>
      </c>
    </row>
    <row r="5" spans="1:12">
      <c r="B5" s="61" t="s">
        <v>17</v>
      </c>
      <c r="C5" s="121" t="s">
        <v>77</v>
      </c>
      <c r="D5" s="122">
        <v>2</v>
      </c>
      <c r="E5" s="120">
        <f>(38*7)</f>
        <v>266</v>
      </c>
    </row>
    <row r="6" spans="1:12">
      <c r="B6" s="55" t="s">
        <v>18</v>
      </c>
      <c r="C6" s="5" t="s">
        <v>78</v>
      </c>
      <c r="D6" s="84">
        <v>2</v>
      </c>
      <c r="E6" s="56">
        <f t="shared" ref="E6:E7" si="0">(38*7)</f>
        <v>266</v>
      </c>
    </row>
    <row r="7" spans="1:12">
      <c r="B7" s="55" t="s">
        <v>19</v>
      </c>
      <c r="C7" s="5" t="s">
        <v>79</v>
      </c>
      <c r="D7" s="84">
        <v>3</v>
      </c>
      <c r="E7" s="56">
        <f t="shared" si="0"/>
        <v>266</v>
      </c>
    </row>
    <row r="8" spans="1:12">
      <c r="B8" s="55" t="s">
        <v>20</v>
      </c>
      <c r="C8" s="5" t="s">
        <v>80</v>
      </c>
      <c r="D8" s="84">
        <v>2</v>
      </c>
      <c r="E8" s="56">
        <f>(4*21)</f>
        <v>84</v>
      </c>
    </row>
    <row r="9" spans="1:12">
      <c r="B9" s="55" t="s">
        <v>21</v>
      </c>
      <c r="C9" s="5" t="s">
        <v>81</v>
      </c>
      <c r="D9" s="84">
        <v>0</v>
      </c>
      <c r="E9" s="56">
        <f t="shared" ref="E9:E14" si="1">(4*21)</f>
        <v>84</v>
      </c>
    </row>
    <row r="10" spans="1:12">
      <c r="B10" s="55" t="s">
        <v>22</v>
      </c>
      <c r="C10" s="5" t="s">
        <v>82</v>
      </c>
      <c r="D10" s="84">
        <v>0</v>
      </c>
      <c r="E10" s="56">
        <f t="shared" si="1"/>
        <v>84</v>
      </c>
    </row>
    <row r="11" spans="1:12">
      <c r="B11" s="55" t="s">
        <v>23</v>
      </c>
      <c r="C11" s="5" t="s">
        <v>83</v>
      </c>
      <c r="D11" s="84">
        <v>0</v>
      </c>
      <c r="E11" s="56">
        <f t="shared" si="1"/>
        <v>84</v>
      </c>
    </row>
    <row r="12" spans="1:12">
      <c r="B12" s="55" t="s">
        <v>24</v>
      </c>
      <c r="C12" s="5" t="s">
        <v>84</v>
      </c>
      <c r="D12" s="84">
        <v>0</v>
      </c>
      <c r="E12" s="56">
        <f t="shared" si="1"/>
        <v>84</v>
      </c>
    </row>
    <row r="13" spans="1:12">
      <c r="B13" s="55" t="s">
        <v>25</v>
      </c>
      <c r="C13" s="5" t="s">
        <v>85</v>
      </c>
      <c r="D13" s="84">
        <v>0</v>
      </c>
      <c r="E13" s="56">
        <f t="shared" si="1"/>
        <v>84</v>
      </c>
    </row>
    <row r="14" spans="1:12" ht="17" thickBot="1">
      <c r="B14" s="57" t="s">
        <v>26</v>
      </c>
      <c r="C14" s="35" t="s">
        <v>86</v>
      </c>
      <c r="D14" s="85">
        <v>0</v>
      </c>
      <c r="E14" s="58">
        <f t="shared" si="1"/>
        <v>84</v>
      </c>
    </row>
    <row r="15" spans="1:12" ht="17" thickBot="1">
      <c r="B15" s="2"/>
    </row>
    <row r="16" spans="1:12" ht="17" thickBot="1">
      <c r="B16" s="213" t="s">
        <v>11</v>
      </c>
      <c r="C16" s="214"/>
      <c r="D16" s="214"/>
      <c r="E16" s="86">
        <f>SUMPRODUCT(E5:E14,D5:D14)</f>
        <v>2030</v>
      </c>
    </row>
    <row r="17" spans="2:16">
      <c r="B17" s="87"/>
      <c r="C17" s="87"/>
      <c r="D17" s="87"/>
      <c r="E17" s="88"/>
    </row>
    <row r="18" spans="2:16" ht="17" thickBot="1">
      <c r="B18" s="89" t="s">
        <v>117</v>
      </c>
      <c r="E18" s="3"/>
    </row>
    <row r="19" spans="2:16" ht="17" thickBot="1">
      <c r="B19" s="51" t="s">
        <v>116</v>
      </c>
      <c r="C19" s="68" t="s">
        <v>37</v>
      </c>
      <c r="D19" s="19" t="s">
        <v>38</v>
      </c>
      <c r="E19" s="19" t="s">
        <v>39</v>
      </c>
      <c r="F19" s="19" t="s">
        <v>124</v>
      </c>
      <c r="G19" s="19" t="s">
        <v>41</v>
      </c>
      <c r="H19" s="19" t="s">
        <v>42</v>
      </c>
      <c r="I19" s="19" t="s">
        <v>43</v>
      </c>
      <c r="J19" s="19" t="s">
        <v>44</v>
      </c>
      <c r="K19" s="19" t="s">
        <v>45</v>
      </c>
      <c r="L19" s="19" t="s">
        <v>46</v>
      </c>
      <c r="N19" s="9" t="s">
        <v>119</v>
      </c>
      <c r="O19" s="9"/>
      <c r="P19" s="9"/>
    </row>
    <row r="20" spans="2:16">
      <c r="B20" s="62" t="s">
        <v>17</v>
      </c>
      <c r="C20" s="75">
        <f>$D$5</f>
        <v>2</v>
      </c>
      <c r="D20" s="75">
        <f t="shared" ref="D20:F20" si="2">$D$5</f>
        <v>2</v>
      </c>
      <c r="E20" s="75">
        <f t="shared" si="2"/>
        <v>2</v>
      </c>
      <c r="F20" s="75">
        <f t="shared" si="2"/>
        <v>2</v>
      </c>
      <c r="G20" s="106" t="s">
        <v>47</v>
      </c>
      <c r="H20" s="75">
        <f>$D$5</f>
        <v>2</v>
      </c>
      <c r="I20" s="75">
        <f t="shared" ref="I20:J20" si="3">$D$5</f>
        <v>2</v>
      </c>
      <c r="J20" s="75">
        <f t="shared" si="3"/>
        <v>2</v>
      </c>
      <c r="K20" s="65"/>
      <c r="L20" s="66"/>
      <c r="N20" s="91"/>
      <c r="O20" s="92" t="s">
        <v>120</v>
      </c>
      <c r="P20" s="92"/>
    </row>
    <row r="21" spans="2:16">
      <c r="B21" s="62" t="s">
        <v>18</v>
      </c>
      <c r="C21" s="65"/>
      <c r="D21" s="75">
        <f>$D6</f>
        <v>2</v>
      </c>
      <c r="E21" s="75">
        <f t="shared" ref="E21:L22" si="4">$D6</f>
        <v>2</v>
      </c>
      <c r="F21" s="75">
        <f t="shared" si="4"/>
        <v>2</v>
      </c>
      <c r="G21" s="75">
        <f t="shared" si="4"/>
        <v>2</v>
      </c>
      <c r="H21" s="123" t="s">
        <v>47</v>
      </c>
      <c r="I21" s="75">
        <f t="shared" si="4"/>
        <v>2</v>
      </c>
      <c r="J21" s="75">
        <f t="shared" si="4"/>
        <v>2</v>
      </c>
      <c r="K21" s="75">
        <f t="shared" si="4"/>
        <v>2</v>
      </c>
      <c r="L21" s="66"/>
      <c r="N21" s="93"/>
      <c r="O21" s="94" t="s">
        <v>118</v>
      </c>
      <c r="P21" s="94"/>
    </row>
    <row r="22" spans="2:16">
      <c r="B22" s="62" t="s">
        <v>19</v>
      </c>
      <c r="C22" s="65"/>
      <c r="D22" s="65"/>
      <c r="E22" s="75">
        <f t="shared" si="4"/>
        <v>3</v>
      </c>
      <c r="F22" s="75">
        <f t="shared" si="4"/>
        <v>3</v>
      </c>
      <c r="G22" s="75">
        <f t="shared" si="4"/>
        <v>3</v>
      </c>
      <c r="H22" s="75">
        <f t="shared" si="4"/>
        <v>3</v>
      </c>
      <c r="I22" s="123" t="s">
        <v>47</v>
      </c>
      <c r="J22" s="75">
        <f t="shared" si="4"/>
        <v>3</v>
      </c>
      <c r="K22" s="75">
        <f t="shared" si="4"/>
        <v>3</v>
      </c>
      <c r="L22" s="76">
        <f t="shared" si="4"/>
        <v>3</v>
      </c>
    </row>
    <row r="23" spans="2:16">
      <c r="B23" s="62" t="s">
        <v>20</v>
      </c>
      <c r="C23" s="103">
        <f>$D8</f>
        <v>2</v>
      </c>
      <c r="D23" s="103">
        <f t="shared" ref="D23:L29" si="5">$D8</f>
        <v>2</v>
      </c>
      <c r="E23" s="103">
        <f t="shared" si="5"/>
        <v>2</v>
      </c>
      <c r="F23" s="103">
        <f t="shared" si="5"/>
        <v>2</v>
      </c>
      <c r="G23" s="65"/>
      <c r="H23" s="65"/>
      <c r="I23" s="65"/>
      <c r="J23" s="65"/>
      <c r="K23" s="65"/>
      <c r="L23" s="66"/>
    </row>
    <row r="24" spans="2:16">
      <c r="B24" s="62" t="s">
        <v>21</v>
      </c>
      <c r="C24" s="65"/>
      <c r="D24" s="103">
        <f t="shared" si="5"/>
        <v>0</v>
      </c>
      <c r="E24" s="103">
        <f t="shared" si="5"/>
        <v>0</v>
      </c>
      <c r="F24" s="103">
        <f t="shared" si="5"/>
        <v>0</v>
      </c>
      <c r="G24" s="103">
        <f t="shared" si="5"/>
        <v>0</v>
      </c>
      <c r="H24" s="65"/>
      <c r="I24" s="65"/>
      <c r="J24" s="65"/>
      <c r="K24" s="65"/>
      <c r="L24" s="66"/>
    </row>
    <row r="25" spans="2:16">
      <c r="B25" s="62" t="s">
        <v>22</v>
      </c>
      <c r="C25" s="65"/>
      <c r="D25" s="65"/>
      <c r="E25" s="103">
        <f t="shared" si="5"/>
        <v>0</v>
      </c>
      <c r="F25" s="103">
        <f t="shared" si="5"/>
        <v>0</v>
      </c>
      <c r="G25" s="103">
        <f t="shared" si="5"/>
        <v>0</v>
      </c>
      <c r="H25" s="103">
        <f t="shared" si="5"/>
        <v>0</v>
      </c>
      <c r="I25" s="65"/>
      <c r="J25" s="65"/>
      <c r="K25" s="65"/>
      <c r="L25" s="66"/>
    </row>
    <row r="26" spans="2:16">
      <c r="B26" s="62" t="s">
        <v>23</v>
      </c>
      <c r="C26" s="65"/>
      <c r="D26" s="65"/>
      <c r="E26" s="65"/>
      <c r="F26" s="103">
        <f t="shared" si="5"/>
        <v>0</v>
      </c>
      <c r="G26" s="103">
        <f t="shared" si="5"/>
        <v>0</v>
      </c>
      <c r="H26" s="103">
        <f t="shared" si="5"/>
        <v>0</v>
      </c>
      <c r="I26" s="103">
        <f t="shared" si="5"/>
        <v>0</v>
      </c>
      <c r="J26" s="65"/>
      <c r="K26" s="65"/>
      <c r="L26" s="66"/>
    </row>
    <row r="27" spans="2:16">
      <c r="B27" s="62" t="s">
        <v>24</v>
      </c>
      <c r="C27" s="65"/>
      <c r="D27" s="65"/>
      <c r="E27" s="65"/>
      <c r="F27" s="65"/>
      <c r="G27" s="103">
        <f t="shared" si="5"/>
        <v>0</v>
      </c>
      <c r="H27" s="103">
        <f t="shared" si="5"/>
        <v>0</v>
      </c>
      <c r="I27" s="103">
        <f t="shared" si="5"/>
        <v>0</v>
      </c>
      <c r="J27" s="103">
        <f t="shared" si="5"/>
        <v>0</v>
      </c>
      <c r="K27" s="65"/>
      <c r="L27" s="66"/>
    </row>
    <row r="28" spans="2:16">
      <c r="B28" s="62" t="s">
        <v>25</v>
      </c>
      <c r="C28" s="65"/>
      <c r="D28" s="65"/>
      <c r="E28" s="65"/>
      <c r="F28" s="65"/>
      <c r="G28" s="65"/>
      <c r="H28" s="103">
        <f t="shared" si="5"/>
        <v>0</v>
      </c>
      <c r="I28" s="103">
        <f t="shared" si="5"/>
        <v>0</v>
      </c>
      <c r="J28" s="103">
        <f t="shared" si="5"/>
        <v>0</v>
      </c>
      <c r="K28" s="103">
        <f t="shared" si="5"/>
        <v>0</v>
      </c>
      <c r="L28" s="66"/>
    </row>
    <row r="29" spans="2:16" ht="17" thickBot="1">
      <c r="B29" s="63" t="s">
        <v>26</v>
      </c>
      <c r="C29" s="67"/>
      <c r="D29" s="67"/>
      <c r="E29" s="67"/>
      <c r="F29" s="67"/>
      <c r="G29" s="67"/>
      <c r="H29" s="67"/>
      <c r="I29" s="104">
        <f t="shared" si="5"/>
        <v>0</v>
      </c>
      <c r="J29" s="104">
        <f t="shared" si="5"/>
        <v>0</v>
      </c>
      <c r="K29" s="104">
        <f t="shared" si="5"/>
        <v>0</v>
      </c>
      <c r="L29" s="105">
        <f t="shared" si="5"/>
        <v>0</v>
      </c>
    </row>
    <row r="30" spans="2:16">
      <c r="B30" s="4"/>
      <c r="C30" s="6"/>
      <c r="D30" s="6"/>
      <c r="E30" s="6"/>
      <c r="F30" s="6"/>
      <c r="G30" s="6"/>
      <c r="H30" s="6"/>
      <c r="I30" s="6"/>
      <c r="J30" s="6"/>
      <c r="K30" s="6"/>
      <c r="L30" s="6"/>
    </row>
    <row r="31" spans="2:16" ht="17" thickBot="1">
      <c r="B31" s="4"/>
    </row>
    <row r="32" spans="2:16" ht="17" thickBot="1">
      <c r="B32" s="113" t="s">
        <v>12</v>
      </c>
      <c r="C32" s="51" t="s">
        <v>13</v>
      </c>
      <c r="D32" s="17"/>
      <c r="E32" s="17" t="s">
        <v>14</v>
      </c>
    </row>
    <row r="33" spans="2:5">
      <c r="B33" s="59" t="s">
        <v>1</v>
      </c>
      <c r="C33" s="114">
        <f>SUM(C20:C29)</f>
        <v>4</v>
      </c>
      <c r="D33" s="23" t="s">
        <v>15</v>
      </c>
      <c r="E33" s="110">
        <v>4</v>
      </c>
    </row>
    <row r="34" spans="2:5">
      <c r="B34" s="55" t="s">
        <v>2</v>
      </c>
      <c r="C34" s="115">
        <f>SUM(D20:D29)</f>
        <v>6</v>
      </c>
      <c r="D34" s="5" t="s">
        <v>15</v>
      </c>
      <c r="E34" s="111">
        <v>4</v>
      </c>
    </row>
    <row r="35" spans="2:5">
      <c r="B35" s="55" t="s">
        <v>3</v>
      </c>
      <c r="C35" s="115">
        <f>SUM(E20:E29)</f>
        <v>9</v>
      </c>
      <c r="D35" s="5" t="s">
        <v>15</v>
      </c>
      <c r="E35" s="111">
        <v>3</v>
      </c>
    </row>
    <row r="36" spans="2:5">
      <c r="B36" s="55" t="s">
        <v>4</v>
      </c>
      <c r="C36" s="115">
        <f>SUM(F20:F29)</f>
        <v>9</v>
      </c>
      <c r="D36" s="5" t="s">
        <v>15</v>
      </c>
      <c r="E36" s="111">
        <v>5</v>
      </c>
    </row>
    <row r="37" spans="2:5">
      <c r="B37" s="55" t="s">
        <v>5</v>
      </c>
      <c r="C37" s="115">
        <f>SUM(G20:G29)</f>
        <v>5</v>
      </c>
      <c r="D37" s="5" t="s">
        <v>15</v>
      </c>
      <c r="E37" s="111">
        <v>5</v>
      </c>
    </row>
    <row r="38" spans="2:5">
      <c r="B38" s="55" t="s">
        <v>6</v>
      </c>
      <c r="C38" s="115">
        <f>SUM(H20:H29)</f>
        <v>5</v>
      </c>
      <c r="D38" s="5" t="s">
        <v>15</v>
      </c>
      <c r="E38" s="111">
        <v>3</v>
      </c>
    </row>
    <row r="39" spans="2:5">
      <c r="B39" s="55" t="s">
        <v>7</v>
      </c>
      <c r="C39" s="115">
        <f>SUM(I20:I29)</f>
        <v>4</v>
      </c>
      <c r="D39" s="5" t="s">
        <v>15</v>
      </c>
      <c r="E39" s="111">
        <v>4</v>
      </c>
    </row>
    <row r="40" spans="2:5">
      <c r="B40" s="55" t="s">
        <v>8</v>
      </c>
      <c r="C40" s="115">
        <f>SUM(J20:J29)</f>
        <v>7</v>
      </c>
      <c r="D40" s="5" t="s">
        <v>15</v>
      </c>
      <c r="E40" s="111">
        <v>4</v>
      </c>
    </row>
    <row r="41" spans="2:5">
      <c r="B41" s="55" t="s">
        <v>9</v>
      </c>
      <c r="C41" s="115">
        <f>SUM(K20:K29)</f>
        <v>5</v>
      </c>
      <c r="D41" s="5" t="s">
        <v>15</v>
      </c>
      <c r="E41" s="111">
        <v>3</v>
      </c>
    </row>
    <row r="42" spans="2:5">
      <c r="B42" s="55" t="s">
        <v>10</v>
      </c>
      <c r="C42" s="115">
        <f>SUM(L20:L29)</f>
        <v>3</v>
      </c>
      <c r="D42" s="5" t="s">
        <v>15</v>
      </c>
      <c r="E42" s="111">
        <v>3</v>
      </c>
    </row>
    <row r="43" spans="2:5">
      <c r="B43" s="55" t="s">
        <v>48</v>
      </c>
      <c r="C43" s="115">
        <f>SUM(C20:C22)</f>
        <v>2</v>
      </c>
      <c r="D43" s="5" t="s">
        <v>15</v>
      </c>
      <c r="E43" s="111">
        <v>2</v>
      </c>
    </row>
    <row r="44" spans="2:5">
      <c r="B44" s="55" t="s">
        <v>49</v>
      </c>
      <c r="C44" s="115">
        <f>SUM(D20:D22)</f>
        <v>4</v>
      </c>
      <c r="D44" s="5" t="s">
        <v>15</v>
      </c>
      <c r="E44" s="111">
        <v>2</v>
      </c>
    </row>
    <row r="45" spans="2:5">
      <c r="B45" s="55" t="s">
        <v>50</v>
      </c>
      <c r="C45" s="115">
        <f>SUM(E20:E22)</f>
        <v>7</v>
      </c>
      <c r="D45" s="5" t="s">
        <v>15</v>
      </c>
      <c r="E45" s="111">
        <v>2</v>
      </c>
    </row>
    <row r="46" spans="2:5">
      <c r="B46" s="55" t="s">
        <v>51</v>
      </c>
      <c r="C46" s="115">
        <f>SUM(F20:F22)</f>
        <v>7</v>
      </c>
      <c r="D46" s="5" t="s">
        <v>15</v>
      </c>
      <c r="E46" s="111">
        <v>2</v>
      </c>
    </row>
    <row r="47" spans="2:5">
      <c r="B47" s="55" t="s">
        <v>52</v>
      </c>
      <c r="C47" s="115">
        <f>SUM(G20:G22)</f>
        <v>5</v>
      </c>
      <c r="D47" s="5" t="s">
        <v>15</v>
      </c>
      <c r="E47" s="111">
        <v>2</v>
      </c>
    </row>
    <row r="48" spans="2:5">
      <c r="B48" s="55" t="s">
        <v>53</v>
      </c>
      <c r="C48" s="115">
        <f>SUM(H20:H22)</f>
        <v>5</v>
      </c>
      <c r="D48" s="5" t="s">
        <v>15</v>
      </c>
      <c r="E48" s="111">
        <v>2</v>
      </c>
    </row>
    <row r="49" spans="2:17">
      <c r="B49" s="55" t="s">
        <v>54</v>
      </c>
      <c r="C49" s="115">
        <f>SUM(I20:I22)</f>
        <v>4</v>
      </c>
      <c r="D49" s="5" t="s">
        <v>15</v>
      </c>
      <c r="E49" s="111">
        <v>2</v>
      </c>
    </row>
    <row r="50" spans="2:17">
      <c r="B50" s="55" t="s">
        <v>55</v>
      </c>
      <c r="C50" s="115">
        <f>SUM(J20:J22)</f>
        <v>7</v>
      </c>
      <c r="D50" s="5" t="s">
        <v>15</v>
      </c>
      <c r="E50" s="111">
        <v>2</v>
      </c>
    </row>
    <row r="51" spans="2:17">
      <c r="B51" s="55" t="s">
        <v>56</v>
      </c>
      <c r="C51" s="115">
        <f>SUM(K20:K22)</f>
        <v>5</v>
      </c>
      <c r="D51" s="5" t="s">
        <v>15</v>
      </c>
      <c r="E51" s="111">
        <v>2</v>
      </c>
    </row>
    <row r="52" spans="2:17">
      <c r="B52" s="55" t="s">
        <v>57</v>
      </c>
      <c r="C52" s="115">
        <f>SUM(L20:L22)</f>
        <v>3</v>
      </c>
      <c r="D52" s="5" t="s">
        <v>15</v>
      </c>
      <c r="E52" s="111">
        <v>2</v>
      </c>
    </row>
    <row r="53" spans="2:17" ht="17" thickBot="1">
      <c r="B53" s="162" t="s">
        <v>58</v>
      </c>
      <c r="C53" s="163">
        <f>SUM(D5:D7)</f>
        <v>7</v>
      </c>
      <c r="D53" s="163" t="s">
        <v>15</v>
      </c>
      <c r="E53" s="164">
        <f>0.67*SUM(D5:D14)</f>
        <v>6.03</v>
      </c>
    </row>
    <row r="54" spans="2:17">
      <c r="B54" t="s">
        <v>161</v>
      </c>
    </row>
    <row r="55" spans="2:17" ht="17" thickBot="1">
      <c r="B55" t="s">
        <v>58</v>
      </c>
      <c r="C55" s="142" t="s">
        <v>164</v>
      </c>
      <c r="D55" s="146" t="s">
        <v>15</v>
      </c>
      <c r="E55" t="s">
        <v>167</v>
      </c>
    </row>
    <row r="57" spans="2:17" ht="22" customHeight="1">
      <c r="B57" s="161"/>
      <c r="C57" s="168"/>
      <c r="D57" s="168"/>
      <c r="E57" s="7"/>
      <c r="F57" s="161"/>
      <c r="G57" s="10" t="s">
        <v>126</v>
      </c>
      <c r="H57" s="10"/>
    </row>
    <row r="58" spans="2:17" ht="17" thickBot="1"/>
    <row r="59" spans="2:17" ht="17" thickBot="1">
      <c r="G59" s="125" t="s">
        <v>127</v>
      </c>
      <c r="H59" s="224" t="s">
        <v>128</v>
      </c>
      <c r="I59" s="225"/>
      <c r="J59" s="224" t="s">
        <v>129</v>
      </c>
      <c r="K59" s="225"/>
      <c r="L59" s="224" t="s">
        <v>130</v>
      </c>
      <c r="M59" s="225"/>
    </row>
    <row r="60" spans="2:17" ht="19">
      <c r="G60" s="145" t="s">
        <v>17</v>
      </c>
      <c r="H60" s="228">
        <v>0</v>
      </c>
      <c r="I60" s="229">
        <v>0</v>
      </c>
      <c r="J60" s="228">
        <v>2</v>
      </c>
      <c r="K60" s="229">
        <v>2</v>
      </c>
      <c r="L60" s="228">
        <v>2</v>
      </c>
      <c r="M60" s="230">
        <v>2</v>
      </c>
      <c r="O60" s="91"/>
      <c r="P60" s="92" t="s">
        <v>120</v>
      </c>
      <c r="Q60" s="92"/>
    </row>
    <row r="61" spans="2:17" ht="19">
      <c r="G61" s="143" t="s">
        <v>18</v>
      </c>
      <c r="H61" s="231">
        <v>0</v>
      </c>
      <c r="I61" s="232">
        <v>0</v>
      </c>
      <c r="J61" s="231">
        <v>0</v>
      </c>
      <c r="K61" s="232">
        <v>0</v>
      </c>
      <c r="L61" s="231">
        <v>2</v>
      </c>
      <c r="M61" s="233">
        <v>2</v>
      </c>
      <c r="O61" s="93"/>
      <c r="P61" s="94" t="s">
        <v>118</v>
      </c>
      <c r="Q61" s="94"/>
    </row>
    <row r="62" spans="2:17" ht="19">
      <c r="G62" s="143" t="s">
        <v>19</v>
      </c>
      <c r="H62" s="231">
        <v>0</v>
      </c>
      <c r="I62" s="232">
        <v>0</v>
      </c>
      <c r="J62" s="231">
        <v>3</v>
      </c>
      <c r="K62" s="232">
        <v>3</v>
      </c>
      <c r="L62" s="231">
        <v>3</v>
      </c>
      <c r="M62" s="233">
        <v>3</v>
      </c>
    </row>
    <row r="63" spans="2:17" ht="19">
      <c r="G63" s="143" t="s">
        <v>20</v>
      </c>
      <c r="H63" s="234">
        <v>4</v>
      </c>
      <c r="I63" s="235">
        <v>4</v>
      </c>
      <c r="J63" s="234">
        <v>2</v>
      </c>
      <c r="K63" s="235">
        <v>2</v>
      </c>
      <c r="L63" s="234">
        <v>2</v>
      </c>
      <c r="M63" s="236">
        <v>2</v>
      </c>
    </row>
    <row r="64" spans="2:17" ht="16" customHeight="1">
      <c r="G64" s="143" t="s">
        <v>21</v>
      </c>
      <c r="H64" s="234">
        <v>2</v>
      </c>
      <c r="I64" s="235">
        <v>2</v>
      </c>
      <c r="J64" s="234">
        <v>0</v>
      </c>
      <c r="K64" s="235">
        <v>0</v>
      </c>
      <c r="L64" s="234">
        <v>0</v>
      </c>
      <c r="M64" s="236">
        <v>0</v>
      </c>
    </row>
    <row r="65" spans="7:13" ht="16" customHeight="1">
      <c r="G65" s="143" t="s">
        <v>22</v>
      </c>
      <c r="H65" s="234">
        <v>0</v>
      </c>
      <c r="I65" s="235">
        <v>0</v>
      </c>
      <c r="J65" s="234">
        <v>0</v>
      </c>
      <c r="K65" s="235">
        <v>0</v>
      </c>
      <c r="L65" s="234">
        <v>0</v>
      </c>
      <c r="M65" s="236">
        <v>0</v>
      </c>
    </row>
    <row r="66" spans="7:13" ht="19">
      <c r="G66" s="143" t="s">
        <v>23</v>
      </c>
      <c r="H66" s="234">
        <v>2</v>
      </c>
      <c r="I66" s="235">
        <v>2</v>
      </c>
      <c r="J66" s="234">
        <v>2</v>
      </c>
      <c r="K66" s="235">
        <v>2</v>
      </c>
      <c r="L66" s="234">
        <v>0</v>
      </c>
      <c r="M66" s="236">
        <v>0</v>
      </c>
    </row>
    <row r="67" spans="7:13" ht="17" customHeight="1">
      <c r="G67" s="143" t="s">
        <v>24</v>
      </c>
      <c r="H67" s="234">
        <v>1</v>
      </c>
      <c r="I67" s="235">
        <v>1</v>
      </c>
      <c r="J67" s="234">
        <v>0</v>
      </c>
      <c r="K67" s="235">
        <v>0</v>
      </c>
      <c r="L67" s="234">
        <v>0</v>
      </c>
      <c r="M67" s="236">
        <v>0</v>
      </c>
    </row>
    <row r="68" spans="7:13" ht="19">
      <c r="G68" s="143" t="s">
        <v>25</v>
      </c>
      <c r="H68" s="234">
        <v>0</v>
      </c>
      <c r="I68" s="235">
        <v>0</v>
      </c>
      <c r="J68" s="234">
        <v>0</v>
      </c>
      <c r="K68" s="235">
        <v>0</v>
      </c>
      <c r="L68" s="234">
        <v>0</v>
      </c>
      <c r="M68" s="236">
        <v>0</v>
      </c>
    </row>
    <row r="69" spans="7:13">
      <c r="G69" s="143" t="s">
        <v>26</v>
      </c>
      <c r="H69" s="237">
        <v>3</v>
      </c>
      <c r="I69" s="238">
        <v>3</v>
      </c>
      <c r="J69" s="237">
        <v>0</v>
      </c>
      <c r="K69" s="238">
        <v>0</v>
      </c>
      <c r="L69" s="237">
        <v>0</v>
      </c>
      <c r="M69" s="239">
        <v>0</v>
      </c>
    </row>
    <row r="70" spans="7:13">
      <c r="G70" s="126" t="s">
        <v>131</v>
      </c>
      <c r="H70" s="240">
        <v>12</v>
      </c>
      <c r="I70" s="240"/>
      <c r="J70" s="241">
        <v>9</v>
      </c>
      <c r="K70" s="242"/>
      <c r="L70" s="241">
        <v>9</v>
      </c>
      <c r="M70" s="243"/>
    </row>
    <row r="71" spans="7:13" ht="17" thickBot="1">
      <c r="G71" s="127" t="s">
        <v>132</v>
      </c>
      <c r="H71" s="244">
        <v>1008</v>
      </c>
      <c r="I71" s="244"/>
      <c r="J71" s="244">
        <v>1666</v>
      </c>
      <c r="K71" s="244"/>
      <c r="L71" s="244">
        <v>2030</v>
      </c>
      <c r="M71" s="245"/>
    </row>
    <row r="101" spans="7:17">
      <c r="G101" s="169"/>
      <c r="H101" s="223"/>
      <c r="I101" s="223"/>
      <c r="J101" s="223"/>
      <c r="K101" s="223"/>
      <c r="L101" s="223"/>
      <c r="M101" s="223"/>
      <c r="N101" s="170"/>
      <c r="O101" s="170"/>
      <c r="P101" s="170"/>
      <c r="Q101" s="170"/>
    </row>
    <row r="102" spans="7:17" ht="19">
      <c r="G102" s="171"/>
      <c r="H102" s="221"/>
      <c r="I102" s="221"/>
      <c r="J102" s="221"/>
      <c r="K102" s="221"/>
      <c r="L102" s="221"/>
      <c r="M102" s="221"/>
      <c r="N102" s="170"/>
      <c r="O102" s="172"/>
      <c r="P102" s="172"/>
      <c r="Q102" s="172"/>
    </row>
    <row r="103" spans="7:17" ht="19">
      <c r="G103" s="171"/>
      <c r="H103" s="221"/>
      <c r="I103" s="221"/>
      <c r="J103" s="221"/>
      <c r="K103" s="221"/>
      <c r="L103" s="221"/>
      <c r="M103" s="221"/>
      <c r="N103" s="170"/>
      <c r="O103" s="172"/>
      <c r="P103" s="172"/>
      <c r="Q103" s="172"/>
    </row>
    <row r="104" spans="7:17" ht="19">
      <c r="G104" s="171"/>
      <c r="H104" s="221"/>
      <c r="I104" s="221"/>
      <c r="J104" s="221"/>
      <c r="K104" s="221"/>
      <c r="L104" s="221"/>
      <c r="M104" s="221"/>
      <c r="N104" s="170"/>
      <c r="O104" s="170"/>
      <c r="P104" s="170"/>
      <c r="Q104" s="170"/>
    </row>
    <row r="105" spans="7:17" ht="19">
      <c r="G105" s="171"/>
      <c r="H105" s="221"/>
      <c r="I105" s="221"/>
      <c r="J105" s="221"/>
      <c r="K105" s="221"/>
      <c r="L105" s="221"/>
      <c r="M105" s="221"/>
      <c r="N105" s="170"/>
      <c r="O105" s="170"/>
      <c r="P105" s="170"/>
      <c r="Q105" s="170"/>
    </row>
    <row r="106" spans="7:17" ht="19">
      <c r="G106" s="171"/>
      <c r="H106" s="221"/>
      <c r="I106" s="221"/>
      <c r="J106" s="221"/>
      <c r="K106" s="221"/>
      <c r="L106" s="221"/>
      <c r="M106" s="221"/>
      <c r="N106" s="170"/>
      <c r="O106" s="170"/>
      <c r="P106" s="170"/>
      <c r="Q106" s="170"/>
    </row>
    <row r="107" spans="7:17" ht="19">
      <c r="G107" s="171"/>
      <c r="H107" s="221"/>
      <c r="I107" s="221"/>
      <c r="J107" s="221"/>
      <c r="K107" s="221"/>
      <c r="L107" s="221"/>
      <c r="M107" s="221"/>
      <c r="N107" s="170"/>
      <c r="O107" s="170"/>
      <c r="P107" s="170"/>
      <c r="Q107" s="170"/>
    </row>
    <row r="108" spans="7:17" ht="19">
      <c r="G108" s="171"/>
      <c r="H108" s="221"/>
      <c r="I108" s="221"/>
      <c r="J108" s="221"/>
      <c r="K108" s="221"/>
      <c r="L108" s="221"/>
      <c r="M108" s="221"/>
      <c r="N108" s="170"/>
      <c r="O108" s="170"/>
      <c r="P108" s="170"/>
      <c r="Q108" s="170"/>
    </row>
    <row r="109" spans="7:17" ht="19">
      <c r="G109" s="171"/>
      <c r="H109" s="221"/>
      <c r="I109" s="221"/>
      <c r="J109" s="221"/>
      <c r="K109" s="221"/>
      <c r="L109" s="221"/>
      <c r="M109" s="221"/>
      <c r="N109" s="170"/>
      <c r="O109" s="170"/>
      <c r="P109" s="170"/>
      <c r="Q109" s="170"/>
    </row>
    <row r="110" spans="7:17" ht="19">
      <c r="G110" s="171"/>
      <c r="H110" s="221"/>
      <c r="I110" s="221"/>
      <c r="J110" s="221"/>
      <c r="K110" s="221"/>
      <c r="L110" s="221"/>
      <c r="M110" s="221"/>
      <c r="N110" s="170"/>
      <c r="O110" s="170"/>
      <c r="P110" s="170"/>
      <c r="Q110" s="170"/>
    </row>
    <row r="111" spans="7:17">
      <c r="G111" s="171"/>
      <c r="H111" s="222"/>
      <c r="I111" s="222"/>
      <c r="J111" s="222"/>
      <c r="K111" s="222"/>
      <c r="L111" s="222"/>
      <c r="M111" s="222"/>
      <c r="N111" s="170"/>
      <c r="O111" s="170"/>
      <c r="P111" s="170"/>
      <c r="Q111" s="170"/>
    </row>
    <row r="112" spans="7:17">
      <c r="G112" s="171"/>
      <c r="H112" s="227"/>
      <c r="I112" s="227"/>
      <c r="J112" s="227"/>
      <c r="K112" s="227"/>
      <c r="L112" s="227"/>
      <c r="M112" s="227"/>
      <c r="N112" s="170"/>
      <c r="O112" s="170"/>
      <c r="P112" s="170"/>
      <c r="Q112" s="170"/>
    </row>
    <row r="113" spans="7:17">
      <c r="G113" s="171"/>
      <c r="H113" s="226"/>
      <c r="I113" s="226"/>
      <c r="J113" s="226"/>
      <c r="K113" s="226"/>
      <c r="L113" s="226"/>
      <c r="M113" s="226"/>
      <c r="N113" s="170"/>
      <c r="O113" s="170"/>
      <c r="P113" s="170"/>
      <c r="Q113" s="170"/>
    </row>
    <row r="114" spans="7:17">
      <c r="G114" s="170"/>
      <c r="H114" s="170"/>
      <c r="I114" s="170"/>
      <c r="J114" s="170"/>
      <c r="K114" s="170"/>
      <c r="L114" s="170"/>
      <c r="M114" s="170"/>
      <c r="N114" s="170"/>
      <c r="O114" s="170"/>
      <c r="P114" s="170"/>
      <c r="Q114" s="170"/>
    </row>
  </sheetData>
  <mergeCells count="80">
    <mergeCell ref="H70:I70"/>
    <mergeCell ref="J70:K70"/>
    <mergeCell ref="L70:M70"/>
    <mergeCell ref="H71:I71"/>
    <mergeCell ref="J71:K71"/>
    <mergeCell ref="L71:M71"/>
    <mergeCell ref="H68:I68"/>
    <mergeCell ref="J68:K68"/>
    <mergeCell ref="L68:M68"/>
    <mergeCell ref="H69:I69"/>
    <mergeCell ref="J69:K69"/>
    <mergeCell ref="L69:M69"/>
    <mergeCell ref="H66:I66"/>
    <mergeCell ref="J66:K66"/>
    <mergeCell ref="L66:M66"/>
    <mergeCell ref="H67:I67"/>
    <mergeCell ref="J67:K67"/>
    <mergeCell ref="L67:M67"/>
    <mergeCell ref="H64:I64"/>
    <mergeCell ref="J64:K64"/>
    <mergeCell ref="L64:M64"/>
    <mergeCell ref="H65:I65"/>
    <mergeCell ref="J65:K65"/>
    <mergeCell ref="L65:M65"/>
    <mergeCell ref="H62:I62"/>
    <mergeCell ref="J62:K62"/>
    <mergeCell ref="L62:M62"/>
    <mergeCell ref="H63:I63"/>
    <mergeCell ref="J63:K63"/>
    <mergeCell ref="L63:M63"/>
    <mergeCell ref="H60:I60"/>
    <mergeCell ref="J60:K60"/>
    <mergeCell ref="L60:M60"/>
    <mergeCell ref="H61:I61"/>
    <mergeCell ref="J61:K61"/>
    <mergeCell ref="L61:M61"/>
    <mergeCell ref="H59:I59"/>
    <mergeCell ref="J59:K59"/>
    <mergeCell ref="L59:M59"/>
    <mergeCell ref="H113:I113"/>
    <mergeCell ref="J113:K113"/>
    <mergeCell ref="L113:M113"/>
    <mergeCell ref="L109:M109"/>
    <mergeCell ref="L110:M110"/>
    <mergeCell ref="L111:M111"/>
    <mergeCell ref="H112:I112"/>
    <mergeCell ref="J112:K112"/>
    <mergeCell ref="L112:M112"/>
    <mergeCell ref="J109:K109"/>
    <mergeCell ref="J110:K110"/>
    <mergeCell ref="J111:K111"/>
    <mergeCell ref="H110:I110"/>
    <mergeCell ref="H111:I111"/>
    <mergeCell ref="L101:M101"/>
    <mergeCell ref="J102:K102"/>
    <mergeCell ref="J103:K103"/>
    <mergeCell ref="J104:K104"/>
    <mergeCell ref="L102:M102"/>
    <mergeCell ref="L103:M103"/>
    <mergeCell ref="H101:I101"/>
    <mergeCell ref="H102:I102"/>
    <mergeCell ref="H103:I103"/>
    <mergeCell ref="H104:I104"/>
    <mergeCell ref="J101:K101"/>
    <mergeCell ref="A1:L1"/>
    <mergeCell ref="H109:I109"/>
    <mergeCell ref="J108:K108"/>
    <mergeCell ref="H105:I105"/>
    <mergeCell ref="H106:I106"/>
    <mergeCell ref="H107:I107"/>
    <mergeCell ref="H108:I108"/>
    <mergeCell ref="B16:D16"/>
    <mergeCell ref="L107:M107"/>
    <mergeCell ref="L108:M108"/>
    <mergeCell ref="L104:M104"/>
    <mergeCell ref="L105:M105"/>
    <mergeCell ref="L106:M106"/>
    <mergeCell ref="J105:K105"/>
    <mergeCell ref="J106:K106"/>
    <mergeCell ref="J107:K107"/>
  </mergeCells>
  <pageMargins left="0.7" right="0.7" top="0.75" bottom="0.75" header="0.3" footer="0.3"/>
  <ignoredErrors>
    <ignoredError sqref="C53"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C1377-EA45-4F89-9885-6B38B3E1CC5D}">
  <dimension ref="A1:Q69"/>
  <sheetViews>
    <sheetView topLeftCell="A16" zoomScaleNormal="100" workbookViewId="0">
      <selection activeCell="P64" sqref="P64"/>
    </sheetView>
  </sheetViews>
  <sheetFormatPr baseColWidth="10" defaultColWidth="11" defaultRowHeight="16"/>
  <cols>
    <col min="2" max="2" width="36.6640625" customWidth="1"/>
    <col min="5" max="5" width="13.83203125" customWidth="1"/>
    <col min="7" max="7" width="43.83203125" customWidth="1"/>
    <col min="9" max="9" width="9.5" customWidth="1"/>
    <col min="11" max="11" width="9.83203125" customWidth="1"/>
    <col min="13" max="13" width="6" customWidth="1"/>
  </cols>
  <sheetData>
    <row r="1" spans="1:12" ht="57" customHeight="1">
      <c r="A1" s="219" t="s">
        <v>168</v>
      </c>
      <c r="B1" s="220"/>
      <c r="C1" s="220"/>
      <c r="D1" s="220"/>
      <c r="E1" s="220"/>
      <c r="F1" s="220"/>
      <c r="G1" s="220"/>
      <c r="H1" s="220"/>
      <c r="I1" s="220"/>
      <c r="J1" s="220"/>
      <c r="K1" s="220"/>
      <c r="L1" s="220"/>
    </row>
    <row r="3" spans="1:12" ht="17" thickBot="1"/>
    <row r="4" spans="1:12" ht="52" thickBot="1">
      <c r="B4" s="117" t="s">
        <v>0</v>
      </c>
      <c r="C4" s="118" t="s">
        <v>115</v>
      </c>
      <c r="D4" s="119" t="s">
        <v>16</v>
      </c>
      <c r="E4" s="82" t="s">
        <v>122</v>
      </c>
    </row>
    <row r="5" spans="1:12">
      <c r="B5" s="61" t="s">
        <v>17</v>
      </c>
      <c r="C5" s="121" t="s">
        <v>77</v>
      </c>
      <c r="D5" s="122">
        <v>2</v>
      </c>
      <c r="E5" s="56">
        <f>(38*7)</f>
        <v>266</v>
      </c>
    </row>
    <row r="6" spans="1:12">
      <c r="B6" s="55" t="s">
        <v>18</v>
      </c>
      <c r="C6" s="15" t="s">
        <v>78</v>
      </c>
      <c r="D6" s="84">
        <v>2</v>
      </c>
      <c r="E6" s="56">
        <f t="shared" ref="E6:E7" si="0">(38*7)</f>
        <v>266</v>
      </c>
    </row>
    <row r="7" spans="1:12">
      <c r="B7" s="55" t="s">
        <v>19</v>
      </c>
      <c r="C7" s="15" t="s">
        <v>79</v>
      </c>
      <c r="D7" s="84">
        <v>3</v>
      </c>
      <c r="E7" s="56">
        <f t="shared" si="0"/>
        <v>266</v>
      </c>
    </row>
    <row r="8" spans="1:12">
      <c r="B8" s="55" t="s">
        <v>20</v>
      </c>
      <c r="C8" s="15" t="s">
        <v>80</v>
      </c>
      <c r="D8" s="84">
        <v>2</v>
      </c>
      <c r="E8" s="56">
        <f>(4*21)</f>
        <v>84</v>
      </c>
    </row>
    <row r="9" spans="1:12">
      <c r="B9" s="55" t="s">
        <v>21</v>
      </c>
      <c r="C9" s="15" t="s">
        <v>81</v>
      </c>
      <c r="D9" s="84">
        <v>0</v>
      </c>
      <c r="E9" s="56">
        <f t="shared" ref="E9:E14" si="1">(4*21)</f>
        <v>84</v>
      </c>
    </row>
    <row r="10" spans="1:12">
      <c r="B10" s="55" t="s">
        <v>22</v>
      </c>
      <c r="C10" s="15" t="s">
        <v>82</v>
      </c>
      <c r="D10" s="84">
        <v>0</v>
      </c>
      <c r="E10" s="56">
        <f t="shared" si="1"/>
        <v>84</v>
      </c>
    </row>
    <row r="11" spans="1:12">
      <c r="B11" s="55" t="s">
        <v>23</v>
      </c>
      <c r="C11" s="15" t="s">
        <v>83</v>
      </c>
      <c r="D11" s="84">
        <v>0</v>
      </c>
      <c r="E11" s="56">
        <f t="shared" si="1"/>
        <v>84</v>
      </c>
    </row>
    <row r="12" spans="1:12">
      <c r="B12" s="55" t="s">
        <v>24</v>
      </c>
      <c r="C12" s="15" t="s">
        <v>84</v>
      </c>
      <c r="D12" s="84">
        <v>0</v>
      </c>
      <c r="E12" s="56">
        <f t="shared" si="1"/>
        <v>84</v>
      </c>
    </row>
    <row r="13" spans="1:12">
      <c r="B13" s="55" t="s">
        <v>25</v>
      </c>
      <c r="C13" s="15" t="s">
        <v>85</v>
      </c>
      <c r="D13" s="84">
        <v>0</v>
      </c>
      <c r="E13" s="56">
        <f t="shared" si="1"/>
        <v>84</v>
      </c>
    </row>
    <row r="14" spans="1:12" ht="17" thickBot="1">
      <c r="B14" s="57" t="s">
        <v>26</v>
      </c>
      <c r="C14" s="35" t="s">
        <v>86</v>
      </c>
      <c r="D14" s="85">
        <v>0</v>
      </c>
      <c r="E14" s="58">
        <f t="shared" si="1"/>
        <v>84</v>
      </c>
    </row>
    <row r="15" spans="1:12" ht="17" thickBot="1">
      <c r="B15" s="2"/>
    </row>
    <row r="16" spans="1:12" ht="17" thickBot="1">
      <c r="B16" s="213" t="s">
        <v>11</v>
      </c>
      <c r="C16" s="214"/>
      <c r="D16" s="214"/>
      <c r="E16" s="86">
        <f>SUMPRODUCT(E5:E14,D5:D14)</f>
        <v>2030</v>
      </c>
    </row>
    <row r="17" spans="2:16">
      <c r="B17" s="87"/>
      <c r="C17" s="87"/>
      <c r="D17" s="87"/>
      <c r="E17" s="88"/>
    </row>
    <row r="18" spans="2:16" ht="17" thickBot="1">
      <c r="B18" s="89" t="s">
        <v>117</v>
      </c>
      <c r="E18" s="3"/>
    </row>
    <row r="19" spans="2:16" ht="17" thickBot="1">
      <c r="B19" s="51" t="s">
        <v>116</v>
      </c>
      <c r="C19" s="68" t="s">
        <v>37</v>
      </c>
      <c r="D19" s="19" t="s">
        <v>38</v>
      </c>
      <c r="E19" s="19" t="s">
        <v>39</v>
      </c>
      <c r="F19" s="19" t="s">
        <v>124</v>
      </c>
      <c r="G19" s="19" t="s">
        <v>41</v>
      </c>
      <c r="H19" s="19" t="s">
        <v>42</v>
      </c>
      <c r="I19" s="19" t="s">
        <v>43</v>
      </c>
      <c r="J19" s="19" t="s">
        <v>44</v>
      </c>
      <c r="K19" s="19" t="s">
        <v>45</v>
      </c>
      <c r="L19" s="19" t="s">
        <v>46</v>
      </c>
      <c r="N19" s="9" t="s">
        <v>119</v>
      </c>
      <c r="O19" s="9"/>
      <c r="P19" s="9"/>
    </row>
    <row r="20" spans="2:16">
      <c r="B20" s="62" t="s">
        <v>17</v>
      </c>
      <c r="C20" s="75">
        <f>$D$5</f>
        <v>2</v>
      </c>
      <c r="D20" s="75">
        <f t="shared" ref="D20:F20" si="2">$D$5</f>
        <v>2</v>
      </c>
      <c r="E20" s="75">
        <f t="shared" si="2"/>
        <v>2</v>
      </c>
      <c r="F20" s="75">
        <f t="shared" si="2"/>
        <v>2</v>
      </c>
      <c r="G20" s="106" t="s">
        <v>47</v>
      </c>
      <c r="H20" s="75">
        <f>$D$5</f>
        <v>2</v>
      </c>
      <c r="I20" s="75">
        <f t="shared" ref="I20:J20" si="3">$D$5</f>
        <v>2</v>
      </c>
      <c r="J20" s="75">
        <f t="shared" si="3"/>
        <v>2</v>
      </c>
      <c r="K20" s="65"/>
      <c r="L20" s="66"/>
      <c r="N20" s="91"/>
      <c r="O20" s="92" t="s">
        <v>120</v>
      </c>
      <c r="P20" s="92"/>
    </row>
    <row r="21" spans="2:16">
      <c r="B21" s="62" t="s">
        <v>18</v>
      </c>
      <c r="C21" s="65"/>
      <c r="D21" s="75">
        <f>$D6</f>
        <v>2</v>
      </c>
      <c r="E21" s="75">
        <f t="shared" ref="E21:L22" si="4">$D6</f>
        <v>2</v>
      </c>
      <c r="F21" s="75">
        <f t="shared" si="4"/>
        <v>2</v>
      </c>
      <c r="G21" s="75">
        <f t="shared" si="4"/>
        <v>2</v>
      </c>
      <c r="H21" s="123" t="s">
        <v>47</v>
      </c>
      <c r="I21" s="75">
        <f t="shared" si="4"/>
        <v>2</v>
      </c>
      <c r="J21" s="75">
        <f t="shared" si="4"/>
        <v>2</v>
      </c>
      <c r="K21" s="75">
        <f t="shared" si="4"/>
        <v>2</v>
      </c>
      <c r="L21" s="66"/>
      <c r="N21" s="93"/>
      <c r="O21" s="94" t="s">
        <v>118</v>
      </c>
      <c r="P21" s="94"/>
    </row>
    <row r="22" spans="2:16">
      <c r="B22" s="62" t="s">
        <v>19</v>
      </c>
      <c r="C22" s="65"/>
      <c r="D22" s="65"/>
      <c r="E22" s="75">
        <f t="shared" si="4"/>
        <v>3</v>
      </c>
      <c r="F22" s="75">
        <f t="shared" si="4"/>
        <v>3</v>
      </c>
      <c r="G22" s="75">
        <f t="shared" si="4"/>
        <v>3</v>
      </c>
      <c r="H22" s="75">
        <f t="shared" si="4"/>
        <v>3</v>
      </c>
      <c r="I22" s="123" t="s">
        <v>47</v>
      </c>
      <c r="J22" s="75">
        <f t="shared" si="4"/>
        <v>3</v>
      </c>
      <c r="K22" s="75">
        <f t="shared" si="4"/>
        <v>3</v>
      </c>
      <c r="L22" s="76">
        <f t="shared" si="4"/>
        <v>3</v>
      </c>
    </row>
    <row r="23" spans="2:16">
      <c r="B23" s="62" t="s">
        <v>20</v>
      </c>
      <c r="C23" s="103">
        <f>$D8</f>
        <v>2</v>
      </c>
      <c r="D23" s="103">
        <f t="shared" ref="D23:L29" si="5">$D8</f>
        <v>2</v>
      </c>
      <c r="E23" s="103">
        <f t="shared" si="5"/>
        <v>2</v>
      </c>
      <c r="F23" s="103">
        <f t="shared" si="5"/>
        <v>2</v>
      </c>
      <c r="G23" s="65"/>
      <c r="H23" s="65"/>
      <c r="I23" s="65"/>
      <c r="J23" s="65"/>
      <c r="K23" s="65"/>
      <c r="L23" s="66"/>
    </row>
    <row r="24" spans="2:16">
      <c r="B24" s="62" t="s">
        <v>21</v>
      </c>
      <c r="C24" s="65"/>
      <c r="D24" s="103">
        <f t="shared" si="5"/>
        <v>0</v>
      </c>
      <c r="E24" s="103">
        <f t="shared" si="5"/>
        <v>0</v>
      </c>
      <c r="F24" s="103">
        <f t="shared" si="5"/>
        <v>0</v>
      </c>
      <c r="G24" s="103">
        <f t="shared" si="5"/>
        <v>0</v>
      </c>
      <c r="H24" s="65"/>
      <c r="I24" s="65"/>
      <c r="J24" s="65"/>
      <c r="K24" s="65"/>
      <c r="L24" s="66"/>
    </row>
    <row r="25" spans="2:16">
      <c r="B25" s="62" t="s">
        <v>22</v>
      </c>
      <c r="C25" s="65"/>
      <c r="D25" s="65"/>
      <c r="E25" s="103">
        <f t="shared" si="5"/>
        <v>0</v>
      </c>
      <c r="F25" s="103">
        <f t="shared" si="5"/>
        <v>0</v>
      </c>
      <c r="G25" s="103">
        <f t="shared" si="5"/>
        <v>0</v>
      </c>
      <c r="H25" s="103">
        <f t="shared" si="5"/>
        <v>0</v>
      </c>
      <c r="I25" s="65"/>
      <c r="J25" s="65"/>
      <c r="K25" s="65"/>
      <c r="L25" s="66"/>
    </row>
    <row r="26" spans="2:16">
      <c r="B26" s="62" t="s">
        <v>23</v>
      </c>
      <c r="C26" s="65"/>
      <c r="D26" s="65"/>
      <c r="E26" s="65"/>
      <c r="F26" s="103">
        <f t="shared" si="5"/>
        <v>0</v>
      </c>
      <c r="G26" s="103">
        <f t="shared" si="5"/>
        <v>0</v>
      </c>
      <c r="H26" s="103">
        <f t="shared" si="5"/>
        <v>0</v>
      </c>
      <c r="I26" s="103">
        <f t="shared" si="5"/>
        <v>0</v>
      </c>
      <c r="J26" s="65"/>
      <c r="K26" s="65"/>
      <c r="L26" s="66"/>
    </row>
    <row r="27" spans="2:16">
      <c r="B27" s="62" t="s">
        <v>24</v>
      </c>
      <c r="C27" s="65"/>
      <c r="D27" s="65"/>
      <c r="E27" s="65"/>
      <c r="F27" s="65"/>
      <c r="G27" s="103">
        <f t="shared" si="5"/>
        <v>0</v>
      </c>
      <c r="H27" s="103">
        <f t="shared" si="5"/>
        <v>0</v>
      </c>
      <c r="I27" s="103">
        <f t="shared" si="5"/>
        <v>0</v>
      </c>
      <c r="J27" s="103">
        <f t="shared" si="5"/>
        <v>0</v>
      </c>
      <c r="K27" s="65"/>
      <c r="L27" s="66"/>
    </row>
    <row r="28" spans="2:16">
      <c r="B28" s="62" t="s">
        <v>25</v>
      </c>
      <c r="C28" s="65"/>
      <c r="D28" s="65"/>
      <c r="E28" s="65"/>
      <c r="F28" s="65"/>
      <c r="G28" s="65"/>
      <c r="H28" s="103">
        <f t="shared" si="5"/>
        <v>0</v>
      </c>
      <c r="I28" s="103">
        <f t="shared" si="5"/>
        <v>0</v>
      </c>
      <c r="J28" s="103">
        <f t="shared" si="5"/>
        <v>0</v>
      </c>
      <c r="K28" s="103">
        <f t="shared" si="5"/>
        <v>0</v>
      </c>
      <c r="L28" s="66"/>
    </row>
    <row r="29" spans="2:16" ht="17" thickBot="1">
      <c r="B29" s="63" t="s">
        <v>26</v>
      </c>
      <c r="C29" s="67"/>
      <c r="D29" s="67"/>
      <c r="E29" s="67"/>
      <c r="F29" s="67"/>
      <c r="G29" s="67"/>
      <c r="H29" s="67"/>
      <c r="I29" s="104">
        <f t="shared" si="5"/>
        <v>0</v>
      </c>
      <c r="J29" s="104">
        <f t="shared" si="5"/>
        <v>0</v>
      </c>
      <c r="K29" s="104">
        <f t="shared" si="5"/>
        <v>0</v>
      </c>
      <c r="L29" s="105">
        <f t="shared" si="5"/>
        <v>0</v>
      </c>
    </row>
    <row r="30" spans="2:16">
      <c r="B30" s="4"/>
      <c r="C30" s="6"/>
      <c r="D30" s="6"/>
      <c r="E30" s="6"/>
      <c r="F30" s="6"/>
      <c r="G30" s="6"/>
      <c r="H30" s="6"/>
      <c r="I30" s="6"/>
      <c r="J30" s="6"/>
      <c r="K30" s="6"/>
      <c r="L30" s="6"/>
    </row>
    <row r="31" spans="2:16" ht="17" thickBot="1">
      <c r="B31" s="4"/>
    </row>
    <row r="32" spans="2:16" ht="17" thickBot="1">
      <c r="B32" s="113" t="s">
        <v>12</v>
      </c>
      <c r="C32" s="51" t="s">
        <v>13</v>
      </c>
      <c r="D32" s="17"/>
      <c r="E32" s="17" t="s">
        <v>14</v>
      </c>
    </row>
    <row r="33" spans="2:5">
      <c r="B33" s="59" t="s">
        <v>1</v>
      </c>
      <c r="C33" s="114">
        <f>SUM(C20:C29)</f>
        <v>4</v>
      </c>
      <c r="D33" s="23" t="s">
        <v>15</v>
      </c>
      <c r="E33" s="110">
        <v>4</v>
      </c>
    </row>
    <row r="34" spans="2:5">
      <c r="B34" s="55" t="s">
        <v>2</v>
      </c>
      <c r="C34" s="115">
        <f>SUM(D20:D29)</f>
        <v>6</v>
      </c>
      <c r="D34" s="15" t="s">
        <v>15</v>
      </c>
      <c r="E34" s="111">
        <v>4</v>
      </c>
    </row>
    <row r="35" spans="2:5">
      <c r="B35" s="55" t="s">
        <v>3</v>
      </c>
      <c r="C35" s="115">
        <f>SUM(E20:E29)</f>
        <v>9</v>
      </c>
      <c r="D35" s="15" t="s">
        <v>15</v>
      </c>
      <c r="E35" s="111">
        <v>3</v>
      </c>
    </row>
    <row r="36" spans="2:5">
      <c r="B36" s="55" t="s">
        <v>4</v>
      </c>
      <c r="C36" s="115">
        <f>SUM(F20:F29)</f>
        <v>9</v>
      </c>
      <c r="D36" s="15" t="s">
        <v>15</v>
      </c>
      <c r="E36" s="111">
        <v>5</v>
      </c>
    </row>
    <row r="37" spans="2:5">
      <c r="B37" s="55" t="s">
        <v>5</v>
      </c>
      <c r="C37" s="115">
        <f>SUM(G20:G29)</f>
        <v>5</v>
      </c>
      <c r="D37" s="15" t="s">
        <v>15</v>
      </c>
      <c r="E37" s="111">
        <v>5</v>
      </c>
    </row>
    <row r="38" spans="2:5">
      <c r="B38" s="55" t="s">
        <v>6</v>
      </c>
      <c r="C38" s="115">
        <f>SUM(H20:H29)</f>
        <v>5</v>
      </c>
      <c r="D38" s="15" t="s">
        <v>15</v>
      </c>
      <c r="E38" s="111">
        <v>3</v>
      </c>
    </row>
    <row r="39" spans="2:5">
      <c r="B39" s="55" t="s">
        <v>7</v>
      </c>
      <c r="C39" s="115">
        <f>SUM(I20:I29)</f>
        <v>4</v>
      </c>
      <c r="D39" s="15" t="s">
        <v>15</v>
      </c>
      <c r="E39" s="111">
        <v>4</v>
      </c>
    </row>
    <row r="40" spans="2:5">
      <c r="B40" s="55" t="s">
        <v>8</v>
      </c>
      <c r="C40" s="115">
        <f>SUM(J20:J29)</f>
        <v>7</v>
      </c>
      <c r="D40" s="15" t="s">
        <v>15</v>
      </c>
      <c r="E40" s="111">
        <v>4</v>
      </c>
    </row>
    <row r="41" spans="2:5">
      <c r="B41" s="55" t="s">
        <v>9</v>
      </c>
      <c r="C41" s="115">
        <f>SUM(K20:K29)</f>
        <v>5</v>
      </c>
      <c r="D41" s="15" t="s">
        <v>15</v>
      </c>
      <c r="E41" s="111">
        <v>3</v>
      </c>
    </row>
    <row r="42" spans="2:5">
      <c r="B42" s="55" t="s">
        <v>10</v>
      </c>
      <c r="C42" s="115">
        <f>SUM(L20:L29)</f>
        <v>3</v>
      </c>
      <c r="D42" s="15" t="s">
        <v>15</v>
      </c>
      <c r="E42" s="111">
        <v>3</v>
      </c>
    </row>
    <row r="43" spans="2:5">
      <c r="B43" s="55" t="s">
        <v>48</v>
      </c>
      <c r="C43" s="115">
        <f>SUM(C20:C22)</f>
        <v>2</v>
      </c>
      <c r="D43" s="15" t="s">
        <v>15</v>
      </c>
      <c r="E43" s="111">
        <v>2</v>
      </c>
    </row>
    <row r="44" spans="2:5">
      <c r="B44" s="55" t="s">
        <v>49</v>
      </c>
      <c r="C44" s="115">
        <f>SUM(D20:D22)</f>
        <v>4</v>
      </c>
      <c r="D44" s="15" t="s">
        <v>15</v>
      </c>
      <c r="E44" s="111">
        <v>2</v>
      </c>
    </row>
    <row r="45" spans="2:5">
      <c r="B45" s="55" t="s">
        <v>50</v>
      </c>
      <c r="C45" s="115">
        <f>SUM(E20:E22)</f>
        <v>7</v>
      </c>
      <c r="D45" s="15" t="s">
        <v>15</v>
      </c>
      <c r="E45" s="111">
        <v>2</v>
      </c>
    </row>
    <row r="46" spans="2:5">
      <c r="B46" s="55" t="s">
        <v>51</v>
      </c>
      <c r="C46" s="115">
        <f>SUM(F20:F22)</f>
        <v>7</v>
      </c>
      <c r="D46" s="15" t="s">
        <v>15</v>
      </c>
      <c r="E46" s="111">
        <v>2</v>
      </c>
    </row>
    <row r="47" spans="2:5">
      <c r="B47" s="55" t="s">
        <v>52</v>
      </c>
      <c r="C47" s="115">
        <f>SUM(G20:G22)</f>
        <v>5</v>
      </c>
      <c r="D47" s="15" t="s">
        <v>15</v>
      </c>
      <c r="E47" s="111">
        <v>2</v>
      </c>
    </row>
    <row r="48" spans="2:5">
      <c r="B48" s="55" t="s">
        <v>53</v>
      </c>
      <c r="C48" s="115">
        <f>SUM(H20:H22)</f>
        <v>5</v>
      </c>
      <c r="D48" s="15" t="s">
        <v>15</v>
      </c>
      <c r="E48" s="111">
        <v>2</v>
      </c>
    </row>
    <row r="49" spans="2:17">
      <c r="B49" s="55" t="s">
        <v>54</v>
      </c>
      <c r="C49" s="115">
        <f>SUM(I20:I22)</f>
        <v>4</v>
      </c>
      <c r="D49" s="15" t="s">
        <v>15</v>
      </c>
      <c r="E49" s="111">
        <v>2</v>
      </c>
    </row>
    <row r="50" spans="2:17">
      <c r="B50" s="55" t="s">
        <v>55</v>
      </c>
      <c r="C50" s="115">
        <f>SUM(J20:J22)</f>
        <v>7</v>
      </c>
      <c r="D50" s="15" t="s">
        <v>15</v>
      </c>
      <c r="E50" s="111">
        <v>2</v>
      </c>
    </row>
    <row r="51" spans="2:17">
      <c r="B51" s="55" t="s">
        <v>56</v>
      </c>
      <c r="C51" s="115">
        <f>SUM(K20:K22)</f>
        <v>5</v>
      </c>
      <c r="D51" s="15" t="s">
        <v>15</v>
      </c>
      <c r="E51" s="111">
        <v>2</v>
      </c>
    </row>
    <row r="52" spans="2:17">
      <c r="B52" s="55" t="s">
        <v>57</v>
      </c>
      <c r="C52" s="115">
        <f>SUM(L20:L22)</f>
        <v>3</v>
      </c>
      <c r="D52" s="15" t="s">
        <v>15</v>
      </c>
      <c r="E52" s="111">
        <v>2</v>
      </c>
    </row>
    <row r="53" spans="2:17" ht="17" thickBot="1">
      <c r="B53" s="57" t="s">
        <v>58</v>
      </c>
      <c r="C53" s="116">
        <f>SUM(D5:D7)</f>
        <v>7</v>
      </c>
      <c r="D53" s="35" t="s">
        <v>15</v>
      </c>
      <c r="E53" s="112">
        <f>C58*SUM(D5:D14)</f>
        <v>6.0300001502037084</v>
      </c>
    </row>
    <row r="56" spans="2:17" ht="17" thickBot="1">
      <c r="G56" t="s">
        <v>126</v>
      </c>
    </row>
    <row r="57" spans="2:17" ht="65" customHeight="1" thickBot="1">
      <c r="B57" s="173" t="s">
        <v>170</v>
      </c>
      <c r="C57" s="247" t="s">
        <v>169</v>
      </c>
      <c r="D57" s="204"/>
      <c r="E57" s="205"/>
      <c r="G57" s="125" t="s">
        <v>127</v>
      </c>
      <c r="H57" s="224" t="s">
        <v>128</v>
      </c>
      <c r="I57" s="225"/>
      <c r="J57" s="224" t="s">
        <v>129</v>
      </c>
      <c r="K57" s="225"/>
      <c r="L57" s="224" t="s">
        <v>130</v>
      </c>
      <c r="M57" s="225"/>
    </row>
    <row r="58" spans="2:17" ht="19">
      <c r="B58" s="8" t="s">
        <v>171</v>
      </c>
      <c r="C58" s="240">
        <v>0.67000001668930098</v>
      </c>
      <c r="D58" s="240"/>
      <c r="E58" s="240"/>
      <c r="G58" s="59" t="s">
        <v>17</v>
      </c>
      <c r="H58" s="228">
        <v>0</v>
      </c>
      <c r="I58" s="229">
        <v>0</v>
      </c>
      <c r="J58" s="228">
        <v>2</v>
      </c>
      <c r="K58" s="229">
        <v>2</v>
      </c>
      <c r="L58" s="228">
        <v>2</v>
      </c>
      <c r="M58" s="230">
        <v>2</v>
      </c>
      <c r="O58" s="91"/>
      <c r="P58" s="92" t="s">
        <v>120</v>
      </c>
      <c r="Q58" s="92"/>
    </row>
    <row r="59" spans="2:17" ht="19">
      <c r="C59" s="246" t="s">
        <v>172</v>
      </c>
      <c r="D59" s="246"/>
      <c r="E59" s="246"/>
      <c r="G59" s="55" t="s">
        <v>18</v>
      </c>
      <c r="H59" s="231">
        <v>0</v>
      </c>
      <c r="I59" s="232">
        <v>0</v>
      </c>
      <c r="J59" s="231">
        <v>0</v>
      </c>
      <c r="K59" s="232">
        <v>0</v>
      </c>
      <c r="L59" s="231">
        <v>2</v>
      </c>
      <c r="M59" s="233">
        <v>2</v>
      </c>
      <c r="O59" s="93"/>
      <c r="P59" s="94" t="s">
        <v>118</v>
      </c>
      <c r="Q59" s="94"/>
    </row>
    <row r="60" spans="2:17" ht="19">
      <c r="G60" s="55" t="s">
        <v>19</v>
      </c>
      <c r="H60" s="231">
        <v>0</v>
      </c>
      <c r="I60" s="232">
        <v>0</v>
      </c>
      <c r="J60" s="231">
        <v>3</v>
      </c>
      <c r="K60" s="232">
        <v>3</v>
      </c>
      <c r="L60" s="231">
        <v>3</v>
      </c>
      <c r="M60" s="233">
        <v>3</v>
      </c>
    </row>
    <row r="61" spans="2:17" ht="19">
      <c r="G61" s="55" t="s">
        <v>20</v>
      </c>
      <c r="H61" s="234">
        <v>4</v>
      </c>
      <c r="I61" s="235">
        <v>4</v>
      </c>
      <c r="J61" s="234">
        <v>2</v>
      </c>
      <c r="K61" s="235">
        <v>2</v>
      </c>
      <c r="L61" s="234">
        <v>2</v>
      </c>
      <c r="M61" s="236">
        <v>2</v>
      </c>
    </row>
    <row r="62" spans="2:17" ht="19">
      <c r="G62" s="55" t="s">
        <v>21</v>
      </c>
      <c r="H62" s="234">
        <v>2</v>
      </c>
      <c r="I62" s="235">
        <v>2</v>
      </c>
      <c r="J62" s="234">
        <v>0</v>
      </c>
      <c r="K62" s="235">
        <v>0</v>
      </c>
      <c r="L62" s="234">
        <v>0</v>
      </c>
      <c r="M62" s="236">
        <v>0</v>
      </c>
    </row>
    <row r="63" spans="2:17" ht="19">
      <c r="G63" s="55" t="s">
        <v>22</v>
      </c>
      <c r="H63" s="234">
        <v>0</v>
      </c>
      <c r="I63" s="235">
        <v>0</v>
      </c>
      <c r="J63" s="234">
        <v>0</v>
      </c>
      <c r="K63" s="235">
        <v>0</v>
      </c>
      <c r="L63" s="234">
        <v>0</v>
      </c>
      <c r="M63" s="236">
        <v>0</v>
      </c>
    </row>
    <row r="64" spans="2:17" ht="16" customHeight="1">
      <c r="G64" s="55" t="s">
        <v>23</v>
      </c>
      <c r="H64" s="234">
        <v>2</v>
      </c>
      <c r="I64" s="235">
        <v>2</v>
      </c>
      <c r="J64" s="234">
        <v>2</v>
      </c>
      <c r="K64" s="235">
        <v>2</v>
      </c>
      <c r="L64" s="234">
        <v>0</v>
      </c>
      <c r="M64" s="236">
        <v>0</v>
      </c>
    </row>
    <row r="65" spans="7:13" ht="16" customHeight="1">
      <c r="G65" s="55" t="s">
        <v>24</v>
      </c>
      <c r="H65" s="234">
        <v>1</v>
      </c>
      <c r="I65" s="235">
        <v>1</v>
      </c>
      <c r="J65" s="234">
        <v>0</v>
      </c>
      <c r="K65" s="235">
        <v>0</v>
      </c>
      <c r="L65" s="234">
        <v>0</v>
      </c>
      <c r="M65" s="236">
        <v>0</v>
      </c>
    </row>
    <row r="66" spans="7:13" ht="19">
      <c r="G66" s="55" t="s">
        <v>25</v>
      </c>
      <c r="H66" s="234">
        <v>0</v>
      </c>
      <c r="I66" s="235">
        <v>0</v>
      </c>
      <c r="J66" s="234">
        <v>0</v>
      </c>
      <c r="K66" s="235">
        <v>0</v>
      </c>
      <c r="L66" s="234">
        <v>0</v>
      </c>
      <c r="M66" s="236">
        <v>0</v>
      </c>
    </row>
    <row r="67" spans="7:13" ht="17" customHeight="1">
      <c r="G67" s="55" t="s">
        <v>26</v>
      </c>
      <c r="H67" s="237">
        <v>3</v>
      </c>
      <c r="I67" s="238">
        <v>3</v>
      </c>
      <c r="J67" s="237">
        <v>0</v>
      </c>
      <c r="K67" s="238">
        <v>0</v>
      </c>
      <c r="L67" s="237">
        <v>0</v>
      </c>
      <c r="M67" s="239">
        <v>0</v>
      </c>
    </row>
    <row r="68" spans="7:13">
      <c r="G68" s="126" t="s">
        <v>131</v>
      </c>
      <c r="H68" s="240">
        <v>12</v>
      </c>
      <c r="I68" s="240"/>
      <c r="J68" s="241">
        <v>9</v>
      </c>
      <c r="K68" s="242"/>
      <c r="L68" s="241">
        <v>9</v>
      </c>
      <c r="M68" s="243"/>
    </row>
    <row r="69" spans="7:13" ht="17" thickBot="1">
      <c r="G69" s="127" t="s">
        <v>132</v>
      </c>
      <c r="H69" s="244">
        <v>1008</v>
      </c>
      <c r="I69" s="244"/>
      <c r="J69" s="244">
        <v>1666</v>
      </c>
      <c r="K69" s="244"/>
      <c r="L69" s="244">
        <v>2030</v>
      </c>
      <c r="M69" s="245"/>
    </row>
  </sheetData>
  <mergeCells count="44">
    <mergeCell ref="C59:E59"/>
    <mergeCell ref="H58:I58"/>
    <mergeCell ref="J58:K58"/>
    <mergeCell ref="L58:M58"/>
    <mergeCell ref="A1:L1"/>
    <mergeCell ref="B16:D16"/>
    <mergeCell ref="H57:I57"/>
    <mergeCell ref="J57:K57"/>
    <mergeCell ref="L57:M57"/>
    <mergeCell ref="C57:E57"/>
    <mergeCell ref="C58:E58"/>
    <mergeCell ref="H59:I59"/>
    <mergeCell ref="J59:K59"/>
    <mergeCell ref="L59:M59"/>
    <mergeCell ref="H60:I60"/>
    <mergeCell ref="J60:K60"/>
    <mergeCell ref="L60:M60"/>
    <mergeCell ref="H61:I61"/>
    <mergeCell ref="J61:K61"/>
    <mergeCell ref="L61:M61"/>
    <mergeCell ref="H62:I62"/>
    <mergeCell ref="J62:K62"/>
    <mergeCell ref="L62:M62"/>
    <mergeCell ref="H63:I63"/>
    <mergeCell ref="J63:K63"/>
    <mergeCell ref="L63:M63"/>
    <mergeCell ref="H64:I64"/>
    <mergeCell ref="J64:K64"/>
    <mergeCell ref="L64:M64"/>
    <mergeCell ref="H65:I65"/>
    <mergeCell ref="J65:K65"/>
    <mergeCell ref="L65:M65"/>
    <mergeCell ref="H66:I66"/>
    <mergeCell ref="J66:K66"/>
    <mergeCell ref="L66:M66"/>
    <mergeCell ref="H69:I69"/>
    <mergeCell ref="J69:K69"/>
    <mergeCell ref="L69:M69"/>
    <mergeCell ref="H67:I67"/>
    <mergeCell ref="J67:K67"/>
    <mergeCell ref="L67:M67"/>
    <mergeCell ref="H68:I68"/>
    <mergeCell ref="J68:K68"/>
    <mergeCell ref="L68:M6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B9FF1-AB46-481A-B414-7F02971EF79E}">
  <dimension ref="A1:B15"/>
  <sheetViews>
    <sheetView workbookViewId="0"/>
  </sheetViews>
  <sheetFormatPr baseColWidth="10" defaultColWidth="8.83203125" defaultRowHeight="16"/>
  <sheetData>
    <row r="1" spans="1:2">
      <c r="A1">
        <v>1</v>
      </c>
    </row>
    <row r="2" spans="1:2">
      <c r="A2" t="s">
        <v>135</v>
      </c>
    </row>
    <row r="3" spans="1:2">
      <c r="A3">
        <v>1</v>
      </c>
    </row>
    <row r="4" spans="1:2">
      <c r="A4">
        <v>0.5</v>
      </c>
    </row>
    <row r="5" spans="1:2">
      <c r="A5">
        <v>0.9</v>
      </c>
    </row>
    <row r="6" spans="1:2">
      <c r="A6">
        <v>0.01</v>
      </c>
    </row>
    <row r="8" spans="1:2">
      <c r="A8" s="134"/>
      <c r="B8" s="134"/>
    </row>
    <row r="9" spans="1:2">
      <c r="A9" t="s">
        <v>133</v>
      </c>
    </row>
    <row r="10" spans="1:2">
      <c r="A10" t="s">
        <v>134</v>
      </c>
    </row>
    <row r="15" spans="1:2">
      <c r="B15" s="1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9989D-7650-44BB-8AD3-D91A796C84F4}">
  <dimension ref="A8:B15"/>
  <sheetViews>
    <sheetView workbookViewId="0"/>
  </sheetViews>
  <sheetFormatPr baseColWidth="10" defaultColWidth="8.83203125" defaultRowHeight="16"/>
  <sheetData>
    <row r="8" spans="1:2">
      <c r="A8" s="134"/>
      <c r="B8" s="134"/>
    </row>
    <row r="15" spans="1:2">
      <c r="B15" s="1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C3B77-8A03-4186-A10A-3C116979DFDE}">
  <dimension ref="A1:K45"/>
  <sheetViews>
    <sheetView zoomScale="120" zoomScaleNormal="120" workbookViewId="0">
      <selection activeCell="H41" sqref="H41"/>
    </sheetView>
  </sheetViews>
  <sheetFormatPr baseColWidth="10" defaultColWidth="8.83203125" defaultRowHeight="16"/>
  <cols>
    <col min="2" max="2" width="10.1640625" bestFit="1" customWidth="1"/>
  </cols>
  <sheetData>
    <row r="1" spans="1:11">
      <c r="A1" s="135" t="s">
        <v>136</v>
      </c>
      <c r="K1" s="139" t="str">
        <f>CONCATENATE("Sensitivity of ",$K$4," to ","Input")</f>
        <v>Sensitivity of $E$16 to Input</v>
      </c>
    </row>
    <row r="3" spans="1:11">
      <c r="A3" t="s">
        <v>137</v>
      </c>
      <c r="K3" t="s">
        <v>138</v>
      </c>
    </row>
    <row r="4" spans="1:11" ht="37">
      <c r="B4" s="137" t="s">
        <v>133</v>
      </c>
      <c r="J4" s="139">
        <f>MATCH($K$4,OutputAddresses,0)</f>
        <v>1</v>
      </c>
      <c r="K4" s="138" t="s">
        <v>133</v>
      </c>
    </row>
    <row r="5" spans="1:11">
      <c r="A5" s="136">
        <v>0.5</v>
      </c>
      <c r="B5" s="174">
        <v>1666</v>
      </c>
      <c r="K5">
        <f>INDEX(OutputValues,1,$J$4)</f>
        <v>1666</v>
      </c>
    </row>
    <row r="6" spans="1:11">
      <c r="A6" s="136">
        <v>0.50999999046325684</v>
      </c>
      <c r="B6" s="175">
        <v>1666</v>
      </c>
      <c r="K6">
        <f>INDEX(OutputValues,2,$J$4)</f>
        <v>1666</v>
      </c>
    </row>
    <row r="7" spans="1:11">
      <c r="A7" s="136">
        <v>0.51999998092651367</v>
      </c>
      <c r="B7" s="175">
        <v>1666</v>
      </c>
      <c r="K7">
        <f>INDEX(OutputValues,3,$J$4)</f>
        <v>1666</v>
      </c>
    </row>
    <row r="8" spans="1:11">
      <c r="A8" s="136">
        <v>0.52999997138977051</v>
      </c>
      <c r="B8" s="175">
        <v>1666</v>
      </c>
      <c r="K8">
        <f>INDEX(OutputValues,4,$J$4)</f>
        <v>1666</v>
      </c>
    </row>
    <row r="9" spans="1:11">
      <c r="A9" s="136">
        <v>0.54000002145767212</v>
      </c>
      <c r="B9" s="175">
        <v>1666</v>
      </c>
      <c r="K9">
        <f>INDEX(OutputValues,5,$J$4)</f>
        <v>1666</v>
      </c>
    </row>
    <row r="10" spans="1:11">
      <c r="A10" s="136">
        <v>0.55000001192092896</v>
      </c>
      <c r="B10" s="175">
        <v>1666</v>
      </c>
      <c r="K10">
        <f>INDEX(OutputValues,6,$J$4)</f>
        <v>1666</v>
      </c>
    </row>
    <row r="11" spans="1:11">
      <c r="A11" s="136">
        <v>0.56000000238418579</v>
      </c>
      <c r="B11" s="177">
        <v>1848</v>
      </c>
      <c r="K11">
        <f>INDEX(OutputValues,7,$J$4)</f>
        <v>1848</v>
      </c>
    </row>
    <row r="12" spans="1:11">
      <c r="A12" s="136">
        <v>0.56999999284744263</v>
      </c>
      <c r="B12" s="177">
        <v>1848</v>
      </c>
      <c r="K12">
        <f>INDEX(OutputValues,8,$J$4)</f>
        <v>1848</v>
      </c>
    </row>
    <row r="13" spans="1:11">
      <c r="A13" s="136">
        <v>0.57999998331069946</v>
      </c>
      <c r="B13" s="177">
        <v>1848</v>
      </c>
      <c r="K13">
        <f>INDEX(OutputValues,9,$J$4)</f>
        <v>1848</v>
      </c>
    </row>
    <row r="14" spans="1:11">
      <c r="A14" s="136">
        <v>0.5899999737739563</v>
      </c>
      <c r="B14" s="177">
        <v>1848</v>
      </c>
      <c r="K14">
        <f>INDEX(OutputValues,10,$J$4)</f>
        <v>1848</v>
      </c>
    </row>
    <row r="15" spans="1:11">
      <c r="A15" s="136">
        <v>0.60000002384185791</v>
      </c>
      <c r="B15" s="177">
        <v>1848</v>
      </c>
      <c r="K15">
        <f>INDEX(OutputValues,11,$J$4)</f>
        <v>1848</v>
      </c>
    </row>
    <row r="16" spans="1:11">
      <c r="A16" s="136">
        <v>0.61000001430511475</v>
      </c>
      <c r="B16" s="177">
        <v>1848</v>
      </c>
      <c r="K16">
        <f>INDEX(OutputValues,12,$J$4)</f>
        <v>1848</v>
      </c>
    </row>
    <row r="17" spans="1:11">
      <c r="A17" s="136">
        <v>0.62000000476837158</v>
      </c>
      <c r="B17" s="177">
        <v>1848</v>
      </c>
      <c r="K17">
        <f>INDEX(OutputValues,13,$J$4)</f>
        <v>1848</v>
      </c>
    </row>
    <row r="18" spans="1:11">
      <c r="A18" s="136">
        <v>0.62999999523162842</v>
      </c>
      <c r="B18" s="177">
        <v>1848</v>
      </c>
      <c r="K18">
        <f>INDEX(OutputValues,14,$J$4)</f>
        <v>1848</v>
      </c>
    </row>
    <row r="19" spans="1:11">
      <c r="A19" s="136">
        <v>0.63999998569488525</v>
      </c>
      <c r="B19" s="177">
        <v>1848</v>
      </c>
      <c r="K19">
        <f>INDEX(OutputValues,15,$J$4)</f>
        <v>1848</v>
      </c>
    </row>
    <row r="20" spans="1:11">
      <c r="A20" s="136">
        <v>0.64999997615814209</v>
      </c>
      <c r="B20" s="177">
        <v>1848</v>
      </c>
      <c r="K20">
        <f>INDEX(OutputValues,16,$J$4)</f>
        <v>1848</v>
      </c>
    </row>
    <row r="21" spans="1:11">
      <c r="A21" s="136">
        <v>0.65999996662139893</v>
      </c>
      <c r="B21" s="177">
        <v>1848</v>
      </c>
      <c r="K21">
        <f>INDEX(OutputValues,17,$J$4)</f>
        <v>1848</v>
      </c>
    </row>
    <row r="22" spans="1:11">
      <c r="A22" s="136">
        <v>0.67000001668930054</v>
      </c>
      <c r="B22" s="176">
        <v>2030</v>
      </c>
      <c r="K22">
        <f>INDEX(OutputValues,18,$J$4)</f>
        <v>2030</v>
      </c>
    </row>
    <row r="23" spans="1:11">
      <c r="A23" s="136">
        <v>0.68000000715255737</v>
      </c>
      <c r="B23" s="176">
        <v>2030</v>
      </c>
      <c r="K23">
        <f>INDEX(OutputValues,19,$J$4)</f>
        <v>2030</v>
      </c>
    </row>
    <row r="24" spans="1:11">
      <c r="A24" s="136">
        <v>0.68999999761581421</v>
      </c>
      <c r="B24" s="176">
        <v>2030</v>
      </c>
      <c r="K24">
        <f>INDEX(OutputValues,20,$J$4)</f>
        <v>2030</v>
      </c>
    </row>
    <row r="25" spans="1:11">
      <c r="A25" s="136">
        <v>0.69999998807907104</v>
      </c>
      <c r="B25" s="176">
        <v>2030</v>
      </c>
      <c r="K25">
        <f>INDEX(OutputValues,21,$J$4)</f>
        <v>2030</v>
      </c>
    </row>
    <row r="26" spans="1:11">
      <c r="A26" s="136">
        <v>0.70999997854232788</v>
      </c>
      <c r="B26" s="176">
        <v>2030</v>
      </c>
      <c r="K26">
        <f>INDEX(OutputValues,22,$J$4)</f>
        <v>2030</v>
      </c>
    </row>
    <row r="27" spans="1:11">
      <c r="A27" s="136">
        <v>0.71999996900558472</v>
      </c>
      <c r="B27" s="176">
        <v>2030</v>
      </c>
      <c r="K27">
        <f>INDEX(OutputValues,23,$J$4)</f>
        <v>2030</v>
      </c>
    </row>
    <row r="28" spans="1:11">
      <c r="A28" s="136">
        <v>0.73000001907348633</v>
      </c>
      <c r="B28" s="176">
        <v>2030</v>
      </c>
      <c r="K28">
        <f>INDEX(OutputValues,24,$J$4)</f>
        <v>2030</v>
      </c>
    </row>
    <row r="29" spans="1:11">
      <c r="A29" s="136">
        <v>0.74000000953674316</v>
      </c>
      <c r="B29" s="176">
        <v>2030</v>
      </c>
      <c r="K29">
        <f>INDEX(OutputValues,25,$J$4)</f>
        <v>2030</v>
      </c>
    </row>
    <row r="30" spans="1:11">
      <c r="A30" s="136">
        <v>0.75</v>
      </c>
      <c r="B30" s="176">
        <v>2030</v>
      </c>
      <c r="K30">
        <f>INDEX(OutputValues,26,$J$4)</f>
        <v>2030</v>
      </c>
    </row>
    <row r="31" spans="1:11">
      <c r="A31" s="136">
        <v>0.75999999046325684</v>
      </c>
      <c r="B31" s="176">
        <v>2030</v>
      </c>
      <c r="K31">
        <f>INDEX(OutputValues,27,$J$4)</f>
        <v>2030</v>
      </c>
    </row>
    <row r="32" spans="1:11">
      <c r="A32" s="136">
        <v>0.76999998092651367</v>
      </c>
      <c r="B32" s="176">
        <v>2030</v>
      </c>
      <c r="K32">
        <f>INDEX(OutputValues,28,$J$4)</f>
        <v>2030</v>
      </c>
    </row>
    <row r="33" spans="1:11">
      <c r="A33" s="136">
        <v>0.77999997138977051</v>
      </c>
      <c r="B33" s="178">
        <v>2212</v>
      </c>
      <c r="K33">
        <f>INDEX(OutputValues,29,$J$4)</f>
        <v>2212</v>
      </c>
    </row>
    <row r="34" spans="1:11">
      <c r="A34" s="136">
        <v>0.79000002145767212</v>
      </c>
      <c r="B34" s="178">
        <v>2212</v>
      </c>
      <c r="K34">
        <f>INDEX(OutputValues,30,$J$4)</f>
        <v>2212</v>
      </c>
    </row>
    <row r="35" spans="1:11">
      <c r="A35" s="136">
        <v>0.80000001192092896</v>
      </c>
      <c r="B35" s="178">
        <v>2212</v>
      </c>
      <c r="K35">
        <f>INDEX(OutputValues,31,$J$4)</f>
        <v>2212</v>
      </c>
    </row>
    <row r="36" spans="1:11">
      <c r="A36" s="136">
        <v>0.81000000238418579</v>
      </c>
      <c r="B36" s="178">
        <v>2212</v>
      </c>
      <c r="K36">
        <f>INDEX(OutputValues,32,$J$4)</f>
        <v>2212</v>
      </c>
    </row>
    <row r="37" spans="1:11">
      <c r="A37" s="136">
        <v>0.81999999284744263</v>
      </c>
      <c r="B37" s="178">
        <v>2212</v>
      </c>
      <c r="K37">
        <f>INDEX(OutputValues,33,$J$4)</f>
        <v>2212</v>
      </c>
    </row>
    <row r="38" spans="1:11">
      <c r="A38" s="136">
        <v>0.82999998331069946</v>
      </c>
      <c r="B38" s="178">
        <v>2212</v>
      </c>
      <c r="K38">
        <f>INDEX(OutputValues,34,$J$4)</f>
        <v>2212</v>
      </c>
    </row>
    <row r="39" spans="1:11">
      <c r="A39" s="136">
        <v>0.8399999737739563</v>
      </c>
      <c r="B39" s="178">
        <v>2212</v>
      </c>
      <c r="K39">
        <f>INDEX(OutputValues,35,$J$4)</f>
        <v>2212</v>
      </c>
    </row>
    <row r="40" spans="1:11">
      <c r="A40" s="136">
        <v>0.84999996423721313</v>
      </c>
      <c r="B40" s="178">
        <v>2212</v>
      </c>
      <c r="K40">
        <f>INDEX(OutputValues,36,$J$4)</f>
        <v>2212</v>
      </c>
    </row>
    <row r="41" spans="1:11">
      <c r="A41" s="136">
        <v>0.86000001430511475</v>
      </c>
      <c r="B41" s="178">
        <v>2212</v>
      </c>
      <c r="K41">
        <f>INDEX(OutputValues,37,$J$4)</f>
        <v>2212</v>
      </c>
    </row>
    <row r="42" spans="1:11">
      <c r="A42" s="136">
        <v>0.87000000476837158</v>
      </c>
      <c r="B42" s="178">
        <v>2212</v>
      </c>
      <c r="K42">
        <f>INDEX(OutputValues,38,$J$4)</f>
        <v>2212</v>
      </c>
    </row>
    <row r="43" spans="1:11">
      <c r="A43" s="136">
        <v>0.87999999523162842</v>
      </c>
      <c r="B43" s="178">
        <v>2212</v>
      </c>
      <c r="K43">
        <f>INDEX(OutputValues,39,$J$4)</f>
        <v>2212</v>
      </c>
    </row>
    <row r="44" spans="1:11">
      <c r="A44" s="136">
        <v>0.88999998569488525</v>
      </c>
      <c r="B44" s="179">
        <v>2394</v>
      </c>
      <c r="K44">
        <f>INDEX(OutputValues,40,$J$4)</f>
        <v>2394</v>
      </c>
    </row>
    <row r="45" spans="1:11">
      <c r="A45" s="136">
        <v>0.89999997615814209</v>
      </c>
      <c r="B45" s="180">
        <v>2394</v>
      </c>
      <c r="K45">
        <f>INDEX(OutputValues,41,$J$4)</f>
        <v>2394</v>
      </c>
    </row>
  </sheetData>
  <dataValidations count="1">
    <dataValidation type="list" allowBlank="1" showInputMessage="1" showErrorMessage="1" sqref="K4" xr:uid="{DE9418BB-DA80-4C68-A4B1-7459D1564C35}">
      <formula1>OutputAddresses</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DB0A9-B63C-49F1-A0C4-18B00D5D83ED}">
  <dimension ref="A1:Q69"/>
  <sheetViews>
    <sheetView topLeftCell="A26" zoomScale="80" zoomScaleNormal="80" workbookViewId="0">
      <selection activeCell="P100" sqref="P100"/>
    </sheetView>
  </sheetViews>
  <sheetFormatPr baseColWidth="10" defaultColWidth="11" defaultRowHeight="16"/>
  <cols>
    <col min="2" max="2" width="36.6640625" customWidth="1"/>
    <col min="5" max="5" width="13.83203125" customWidth="1"/>
    <col min="7" max="7" width="12.6640625" customWidth="1"/>
    <col min="9" max="9" width="9.5" customWidth="1"/>
    <col min="11" max="11" width="9.83203125" customWidth="1"/>
    <col min="13" max="13" width="6" customWidth="1"/>
  </cols>
  <sheetData>
    <row r="1" spans="1:12" ht="57" customHeight="1">
      <c r="A1" s="219" t="s">
        <v>168</v>
      </c>
      <c r="B1" s="220"/>
      <c r="C1" s="220"/>
      <c r="D1" s="220"/>
      <c r="E1" s="220"/>
      <c r="F1" s="220"/>
      <c r="G1" s="220"/>
      <c r="H1" s="220"/>
      <c r="I1" s="220"/>
      <c r="J1" s="220"/>
      <c r="K1" s="220"/>
      <c r="L1" s="220"/>
    </row>
    <row r="3" spans="1:12" ht="17" thickBot="1"/>
    <row r="4" spans="1:12" ht="52" thickBot="1">
      <c r="B4" s="117" t="s">
        <v>0</v>
      </c>
      <c r="C4" s="128" t="s">
        <v>115</v>
      </c>
      <c r="D4" s="129" t="s">
        <v>16</v>
      </c>
      <c r="E4" s="82" t="s">
        <v>122</v>
      </c>
    </row>
    <row r="5" spans="1:12">
      <c r="B5" s="61" t="s">
        <v>17</v>
      </c>
      <c r="C5" s="121" t="s">
        <v>77</v>
      </c>
      <c r="D5" s="122">
        <v>2</v>
      </c>
      <c r="E5" s="56">
        <f>C59*D59</f>
        <v>266</v>
      </c>
    </row>
    <row r="6" spans="1:12">
      <c r="B6" s="130" t="s">
        <v>18</v>
      </c>
      <c r="C6" s="133" t="s">
        <v>78</v>
      </c>
      <c r="D6" s="84">
        <v>2</v>
      </c>
      <c r="E6" s="56">
        <f>C59*D59</f>
        <v>266</v>
      </c>
    </row>
    <row r="7" spans="1:12">
      <c r="B7" s="130" t="s">
        <v>19</v>
      </c>
      <c r="C7" s="133" t="s">
        <v>79</v>
      </c>
      <c r="D7" s="84">
        <v>3</v>
      </c>
      <c r="E7" s="56">
        <f>C59*D59</f>
        <v>266</v>
      </c>
    </row>
    <row r="8" spans="1:12">
      <c r="B8" s="130" t="s">
        <v>20</v>
      </c>
      <c r="C8" s="133" t="s">
        <v>80</v>
      </c>
      <c r="D8" s="84">
        <v>2</v>
      </c>
      <c r="E8" s="56">
        <f>C58*D58</f>
        <v>84</v>
      </c>
    </row>
    <row r="9" spans="1:12">
      <c r="B9" s="130" t="s">
        <v>21</v>
      </c>
      <c r="C9" s="133" t="s">
        <v>81</v>
      </c>
      <c r="D9" s="84">
        <v>0</v>
      </c>
      <c r="E9" s="56">
        <f>C58*D58</f>
        <v>84</v>
      </c>
    </row>
    <row r="10" spans="1:12">
      <c r="B10" s="130" t="s">
        <v>22</v>
      </c>
      <c r="C10" s="133" t="s">
        <v>82</v>
      </c>
      <c r="D10" s="84">
        <v>0</v>
      </c>
      <c r="E10" s="56">
        <f>C58*D58</f>
        <v>84</v>
      </c>
    </row>
    <row r="11" spans="1:12">
      <c r="B11" s="130" t="s">
        <v>23</v>
      </c>
      <c r="C11" s="133" t="s">
        <v>83</v>
      </c>
      <c r="D11" s="84">
        <v>0</v>
      </c>
      <c r="E11" s="56">
        <f>C58*D58</f>
        <v>84</v>
      </c>
    </row>
    <row r="12" spans="1:12">
      <c r="B12" s="130" t="s">
        <v>24</v>
      </c>
      <c r="C12" s="133" t="s">
        <v>84</v>
      </c>
      <c r="D12" s="84">
        <v>0</v>
      </c>
      <c r="E12" s="56">
        <f>C58*D58</f>
        <v>84</v>
      </c>
    </row>
    <row r="13" spans="1:12">
      <c r="B13" s="130" t="s">
        <v>25</v>
      </c>
      <c r="C13" s="133" t="s">
        <v>85</v>
      </c>
      <c r="D13" s="84">
        <v>0</v>
      </c>
      <c r="E13" s="56">
        <f>C58*D58</f>
        <v>84</v>
      </c>
    </row>
    <row r="14" spans="1:12" ht="17" thickBot="1">
      <c r="B14" s="131" t="s">
        <v>26</v>
      </c>
      <c r="C14" s="35" t="s">
        <v>86</v>
      </c>
      <c r="D14" s="85">
        <v>0</v>
      </c>
      <c r="E14" s="58">
        <f>C58*D58</f>
        <v>84</v>
      </c>
    </row>
    <row r="15" spans="1:12" ht="17" thickBot="1">
      <c r="B15" s="2"/>
    </row>
    <row r="16" spans="1:12" ht="17" thickBot="1">
      <c r="B16" s="213" t="s">
        <v>11</v>
      </c>
      <c r="C16" s="214"/>
      <c r="D16" s="214"/>
      <c r="E16" s="86">
        <f>SUMPRODUCT(E5:E14,D5:D14)</f>
        <v>2030</v>
      </c>
    </row>
    <row r="17" spans="2:16">
      <c r="B17" s="87"/>
      <c r="C17" s="87"/>
      <c r="D17" s="87"/>
      <c r="E17" s="88"/>
    </row>
    <row r="18" spans="2:16" ht="17" thickBot="1">
      <c r="B18" s="89" t="s">
        <v>117</v>
      </c>
      <c r="E18" s="3"/>
    </row>
    <row r="19" spans="2:16" ht="17" thickBot="1">
      <c r="B19" s="51" t="s">
        <v>116</v>
      </c>
      <c r="C19" s="68" t="s">
        <v>37</v>
      </c>
      <c r="D19" s="19" t="s">
        <v>38</v>
      </c>
      <c r="E19" s="19" t="s">
        <v>39</v>
      </c>
      <c r="F19" s="19" t="s">
        <v>124</v>
      </c>
      <c r="G19" s="19" t="s">
        <v>41</v>
      </c>
      <c r="H19" s="19" t="s">
        <v>42</v>
      </c>
      <c r="I19" s="19" t="s">
        <v>43</v>
      </c>
      <c r="J19" s="19" t="s">
        <v>44</v>
      </c>
      <c r="K19" s="19" t="s">
        <v>45</v>
      </c>
      <c r="L19" s="19" t="s">
        <v>46</v>
      </c>
      <c r="N19" s="9" t="s">
        <v>119</v>
      </c>
      <c r="O19" s="9"/>
      <c r="P19" s="9"/>
    </row>
    <row r="20" spans="2:16">
      <c r="B20" s="62" t="s">
        <v>17</v>
      </c>
      <c r="C20" s="75">
        <f>$D$5</f>
        <v>2</v>
      </c>
      <c r="D20" s="75">
        <f t="shared" ref="D20:F20" si="0">$D$5</f>
        <v>2</v>
      </c>
      <c r="E20" s="75">
        <f t="shared" si="0"/>
        <v>2</v>
      </c>
      <c r="F20" s="75">
        <f t="shared" si="0"/>
        <v>2</v>
      </c>
      <c r="G20" s="106" t="s">
        <v>47</v>
      </c>
      <c r="H20" s="75">
        <f>$D$5</f>
        <v>2</v>
      </c>
      <c r="I20" s="75">
        <f t="shared" ref="I20:J20" si="1">$D$5</f>
        <v>2</v>
      </c>
      <c r="J20" s="75">
        <f t="shared" si="1"/>
        <v>2</v>
      </c>
      <c r="K20" s="65"/>
      <c r="L20" s="66"/>
      <c r="N20" s="91"/>
      <c r="O20" s="92" t="s">
        <v>120</v>
      </c>
      <c r="P20" s="92"/>
    </row>
    <row r="21" spans="2:16">
      <c r="B21" s="62" t="s">
        <v>18</v>
      </c>
      <c r="C21" s="65"/>
      <c r="D21" s="75">
        <f>$D6</f>
        <v>2</v>
      </c>
      <c r="E21" s="75">
        <f t="shared" ref="E21:L22" si="2">$D6</f>
        <v>2</v>
      </c>
      <c r="F21" s="75">
        <f t="shared" si="2"/>
        <v>2</v>
      </c>
      <c r="G21" s="75">
        <f t="shared" si="2"/>
        <v>2</v>
      </c>
      <c r="H21" s="123" t="s">
        <v>47</v>
      </c>
      <c r="I21" s="75">
        <f t="shared" si="2"/>
        <v>2</v>
      </c>
      <c r="J21" s="75">
        <f t="shared" si="2"/>
        <v>2</v>
      </c>
      <c r="K21" s="75">
        <f t="shared" si="2"/>
        <v>2</v>
      </c>
      <c r="L21" s="66"/>
      <c r="N21" s="93"/>
      <c r="O21" s="94" t="s">
        <v>118</v>
      </c>
      <c r="P21" s="94"/>
    </row>
    <row r="22" spans="2:16">
      <c r="B22" s="62" t="s">
        <v>19</v>
      </c>
      <c r="C22" s="65"/>
      <c r="D22" s="65"/>
      <c r="E22" s="75">
        <f t="shared" si="2"/>
        <v>3</v>
      </c>
      <c r="F22" s="75">
        <f t="shared" si="2"/>
        <v>3</v>
      </c>
      <c r="G22" s="75">
        <f t="shared" si="2"/>
        <v>3</v>
      </c>
      <c r="H22" s="75">
        <f t="shared" si="2"/>
        <v>3</v>
      </c>
      <c r="I22" s="123" t="s">
        <v>47</v>
      </c>
      <c r="J22" s="75">
        <f t="shared" si="2"/>
        <v>3</v>
      </c>
      <c r="K22" s="75">
        <f t="shared" si="2"/>
        <v>3</v>
      </c>
      <c r="L22" s="76">
        <f t="shared" si="2"/>
        <v>3</v>
      </c>
    </row>
    <row r="23" spans="2:16">
      <c r="B23" s="62" t="s">
        <v>20</v>
      </c>
      <c r="C23" s="103">
        <f>$D8</f>
        <v>2</v>
      </c>
      <c r="D23" s="103">
        <f t="shared" ref="D23:L29" si="3">$D8</f>
        <v>2</v>
      </c>
      <c r="E23" s="103">
        <f t="shared" si="3"/>
        <v>2</v>
      </c>
      <c r="F23" s="103">
        <f t="shared" si="3"/>
        <v>2</v>
      </c>
      <c r="G23" s="65"/>
      <c r="H23" s="65"/>
      <c r="I23" s="65"/>
      <c r="J23" s="65"/>
      <c r="K23" s="65"/>
      <c r="L23" s="66"/>
    </row>
    <row r="24" spans="2:16">
      <c r="B24" s="62" t="s">
        <v>21</v>
      </c>
      <c r="C24" s="65"/>
      <c r="D24" s="103">
        <f t="shared" si="3"/>
        <v>0</v>
      </c>
      <c r="E24" s="103">
        <f t="shared" si="3"/>
        <v>0</v>
      </c>
      <c r="F24" s="103">
        <f t="shared" si="3"/>
        <v>0</v>
      </c>
      <c r="G24" s="103">
        <f t="shared" si="3"/>
        <v>0</v>
      </c>
      <c r="H24" s="65"/>
      <c r="I24" s="65"/>
      <c r="J24" s="65"/>
      <c r="K24" s="65"/>
      <c r="L24" s="66"/>
    </row>
    <row r="25" spans="2:16">
      <c r="B25" s="62" t="s">
        <v>22</v>
      </c>
      <c r="C25" s="65"/>
      <c r="D25" s="65"/>
      <c r="E25" s="103">
        <f t="shared" si="3"/>
        <v>0</v>
      </c>
      <c r="F25" s="103">
        <f t="shared" si="3"/>
        <v>0</v>
      </c>
      <c r="G25" s="103">
        <f t="shared" si="3"/>
        <v>0</v>
      </c>
      <c r="H25" s="103">
        <f t="shared" si="3"/>
        <v>0</v>
      </c>
      <c r="I25" s="65"/>
      <c r="J25" s="65"/>
      <c r="K25" s="65"/>
      <c r="L25" s="66"/>
    </row>
    <row r="26" spans="2:16">
      <c r="B26" s="62" t="s">
        <v>23</v>
      </c>
      <c r="C26" s="65"/>
      <c r="D26" s="65"/>
      <c r="E26" s="65"/>
      <c r="F26" s="103">
        <f t="shared" si="3"/>
        <v>0</v>
      </c>
      <c r="G26" s="103">
        <f t="shared" si="3"/>
        <v>0</v>
      </c>
      <c r="H26" s="103">
        <f t="shared" si="3"/>
        <v>0</v>
      </c>
      <c r="I26" s="103">
        <f t="shared" si="3"/>
        <v>0</v>
      </c>
      <c r="J26" s="65"/>
      <c r="K26" s="65"/>
      <c r="L26" s="66"/>
    </row>
    <row r="27" spans="2:16">
      <c r="B27" s="62" t="s">
        <v>24</v>
      </c>
      <c r="C27" s="65"/>
      <c r="D27" s="65"/>
      <c r="E27" s="65"/>
      <c r="F27" s="65"/>
      <c r="G27" s="103">
        <f t="shared" si="3"/>
        <v>0</v>
      </c>
      <c r="H27" s="103">
        <f t="shared" si="3"/>
        <v>0</v>
      </c>
      <c r="I27" s="103">
        <f t="shared" si="3"/>
        <v>0</v>
      </c>
      <c r="J27" s="103">
        <f t="shared" si="3"/>
        <v>0</v>
      </c>
      <c r="K27" s="65"/>
      <c r="L27" s="66"/>
    </row>
    <row r="28" spans="2:16">
      <c r="B28" s="62" t="s">
        <v>25</v>
      </c>
      <c r="C28" s="65"/>
      <c r="D28" s="65"/>
      <c r="E28" s="65"/>
      <c r="F28" s="65"/>
      <c r="G28" s="65"/>
      <c r="H28" s="103">
        <f t="shared" si="3"/>
        <v>0</v>
      </c>
      <c r="I28" s="103">
        <f t="shared" si="3"/>
        <v>0</v>
      </c>
      <c r="J28" s="103">
        <f t="shared" si="3"/>
        <v>0</v>
      </c>
      <c r="K28" s="103">
        <f t="shared" si="3"/>
        <v>0</v>
      </c>
      <c r="L28" s="66"/>
    </row>
    <row r="29" spans="2:16" ht="17" thickBot="1">
      <c r="B29" s="63" t="s">
        <v>26</v>
      </c>
      <c r="C29" s="67"/>
      <c r="D29" s="67"/>
      <c r="E29" s="67"/>
      <c r="F29" s="67"/>
      <c r="G29" s="67"/>
      <c r="H29" s="67"/>
      <c r="I29" s="104">
        <f t="shared" si="3"/>
        <v>0</v>
      </c>
      <c r="J29" s="104">
        <f t="shared" si="3"/>
        <v>0</v>
      </c>
      <c r="K29" s="104">
        <f t="shared" si="3"/>
        <v>0</v>
      </c>
      <c r="L29" s="105">
        <f t="shared" si="3"/>
        <v>0</v>
      </c>
    </row>
    <row r="30" spans="2:16">
      <c r="B30" s="4"/>
      <c r="C30" s="6"/>
      <c r="D30" s="6"/>
      <c r="E30" s="6"/>
      <c r="F30" s="6"/>
      <c r="G30" s="6"/>
      <c r="H30" s="6"/>
      <c r="I30" s="6"/>
      <c r="J30" s="6"/>
      <c r="K30" s="6"/>
      <c r="L30" s="6"/>
    </row>
    <row r="31" spans="2:16" ht="17" thickBot="1">
      <c r="B31" s="4"/>
    </row>
    <row r="32" spans="2:16" ht="17" thickBot="1">
      <c r="B32" s="113" t="s">
        <v>12</v>
      </c>
      <c r="C32" s="51" t="s">
        <v>13</v>
      </c>
      <c r="D32" s="17"/>
      <c r="E32" s="17" t="s">
        <v>14</v>
      </c>
    </row>
    <row r="33" spans="2:5">
      <c r="B33" s="132" t="s">
        <v>1</v>
      </c>
      <c r="C33" s="114">
        <f>SUM(C20:C29)</f>
        <v>4</v>
      </c>
      <c r="D33" s="23" t="s">
        <v>15</v>
      </c>
      <c r="E33" s="110">
        <v>4</v>
      </c>
    </row>
    <row r="34" spans="2:5">
      <c r="B34" s="130" t="s">
        <v>2</v>
      </c>
      <c r="C34" s="115">
        <f>SUM(D20:D29)</f>
        <v>6</v>
      </c>
      <c r="D34" s="133" t="s">
        <v>15</v>
      </c>
      <c r="E34" s="111">
        <v>4</v>
      </c>
    </row>
    <row r="35" spans="2:5">
      <c r="B35" s="130" t="s">
        <v>3</v>
      </c>
      <c r="C35" s="115">
        <f>SUM(E20:E29)</f>
        <v>9</v>
      </c>
      <c r="D35" s="133" t="s">
        <v>15</v>
      </c>
      <c r="E35" s="111">
        <v>3</v>
      </c>
    </row>
    <row r="36" spans="2:5">
      <c r="B36" s="130" t="s">
        <v>4</v>
      </c>
      <c r="C36" s="115">
        <f>SUM(F20:F29)</f>
        <v>9</v>
      </c>
      <c r="D36" s="133" t="s">
        <v>15</v>
      </c>
      <c r="E36" s="111">
        <v>5</v>
      </c>
    </row>
    <row r="37" spans="2:5">
      <c r="B37" s="130" t="s">
        <v>5</v>
      </c>
      <c r="C37" s="115">
        <f>SUM(G20:G29)</f>
        <v>5</v>
      </c>
      <c r="D37" s="133" t="s">
        <v>15</v>
      </c>
      <c r="E37" s="111">
        <v>5</v>
      </c>
    </row>
    <row r="38" spans="2:5">
      <c r="B38" s="130" t="s">
        <v>6</v>
      </c>
      <c r="C38" s="115">
        <f>SUM(H20:H29)</f>
        <v>5</v>
      </c>
      <c r="D38" s="133" t="s">
        <v>15</v>
      </c>
      <c r="E38" s="111">
        <v>3</v>
      </c>
    </row>
    <row r="39" spans="2:5">
      <c r="B39" s="130" t="s">
        <v>7</v>
      </c>
      <c r="C39" s="115">
        <f>SUM(I20:I29)</f>
        <v>4</v>
      </c>
      <c r="D39" s="133" t="s">
        <v>15</v>
      </c>
      <c r="E39" s="111">
        <v>4</v>
      </c>
    </row>
    <row r="40" spans="2:5">
      <c r="B40" s="130" t="s">
        <v>8</v>
      </c>
      <c r="C40" s="115">
        <f>SUM(J20:J29)</f>
        <v>7</v>
      </c>
      <c r="D40" s="133" t="s">
        <v>15</v>
      </c>
      <c r="E40" s="111">
        <v>4</v>
      </c>
    </row>
    <row r="41" spans="2:5">
      <c r="B41" s="130" t="s">
        <v>9</v>
      </c>
      <c r="C41" s="115">
        <f>SUM(K20:K29)</f>
        <v>5</v>
      </c>
      <c r="D41" s="133" t="s">
        <v>15</v>
      </c>
      <c r="E41" s="111">
        <v>3</v>
      </c>
    </row>
    <row r="42" spans="2:5">
      <c r="B42" s="130" t="s">
        <v>10</v>
      </c>
      <c r="C42" s="115">
        <f>SUM(L20:L29)</f>
        <v>3</v>
      </c>
      <c r="D42" s="133" t="s">
        <v>15</v>
      </c>
      <c r="E42" s="111">
        <v>3</v>
      </c>
    </row>
    <row r="43" spans="2:5">
      <c r="B43" s="130" t="s">
        <v>48</v>
      </c>
      <c r="C43" s="115">
        <f>SUM(C20:C22)</f>
        <v>2</v>
      </c>
      <c r="D43" s="133" t="s">
        <v>15</v>
      </c>
      <c r="E43" s="111">
        <v>2</v>
      </c>
    </row>
    <row r="44" spans="2:5">
      <c r="B44" s="130" t="s">
        <v>49</v>
      </c>
      <c r="C44" s="115">
        <f>SUM(D20:D22)</f>
        <v>4</v>
      </c>
      <c r="D44" s="133" t="s">
        <v>15</v>
      </c>
      <c r="E44" s="111">
        <v>2</v>
      </c>
    </row>
    <row r="45" spans="2:5">
      <c r="B45" s="130" t="s">
        <v>50</v>
      </c>
      <c r="C45" s="115">
        <f>SUM(E20:E22)</f>
        <v>7</v>
      </c>
      <c r="D45" s="133" t="s">
        <v>15</v>
      </c>
      <c r="E45" s="111">
        <v>2</v>
      </c>
    </row>
    <row r="46" spans="2:5">
      <c r="B46" s="130" t="s">
        <v>51</v>
      </c>
      <c r="C46" s="115">
        <f>SUM(F20:F22)</f>
        <v>7</v>
      </c>
      <c r="D46" s="133" t="s">
        <v>15</v>
      </c>
      <c r="E46" s="111">
        <v>2</v>
      </c>
    </row>
    <row r="47" spans="2:5">
      <c r="B47" s="130" t="s">
        <v>52</v>
      </c>
      <c r="C47" s="115">
        <f>SUM(G20:G22)</f>
        <v>5</v>
      </c>
      <c r="D47" s="133" t="s">
        <v>15</v>
      </c>
      <c r="E47" s="111">
        <v>2</v>
      </c>
    </row>
    <row r="48" spans="2:5">
      <c r="B48" s="130" t="s">
        <v>53</v>
      </c>
      <c r="C48" s="115">
        <f>SUM(H20:H22)</f>
        <v>5</v>
      </c>
      <c r="D48" s="133" t="s">
        <v>15</v>
      </c>
      <c r="E48" s="111">
        <v>2</v>
      </c>
    </row>
    <row r="49" spans="2:17">
      <c r="B49" s="130" t="s">
        <v>54</v>
      </c>
      <c r="C49" s="115">
        <f>SUM(I20:I22)</f>
        <v>4</v>
      </c>
      <c r="D49" s="133" t="s">
        <v>15</v>
      </c>
      <c r="E49" s="111">
        <v>2</v>
      </c>
    </row>
    <row r="50" spans="2:17">
      <c r="B50" s="130" t="s">
        <v>55</v>
      </c>
      <c r="C50" s="115">
        <f>SUM(J20:J22)</f>
        <v>7</v>
      </c>
      <c r="D50" s="133" t="s">
        <v>15</v>
      </c>
      <c r="E50" s="111">
        <v>2</v>
      </c>
    </row>
    <row r="51" spans="2:17">
      <c r="B51" s="130" t="s">
        <v>56</v>
      </c>
      <c r="C51" s="115">
        <f>SUM(K20:K22)</f>
        <v>5</v>
      </c>
      <c r="D51" s="133" t="s">
        <v>15</v>
      </c>
      <c r="E51" s="111">
        <v>2</v>
      </c>
    </row>
    <row r="52" spans="2:17">
      <c r="B52" s="130" t="s">
        <v>57</v>
      </c>
      <c r="C52" s="115">
        <f>SUM(L20:L22)</f>
        <v>3</v>
      </c>
      <c r="D52" s="133" t="s">
        <v>15</v>
      </c>
      <c r="E52" s="111">
        <v>2</v>
      </c>
    </row>
    <row r="53" spans="2:17" ht="17" thickBot="1">
      <c r="B53" s="131" t="s">
        <v>58</v>
      </c>
      <c r="C53" s="116">
        <f>SUM(D5:D7)</f>
        <v>7</v>
      </c>
      <c r="D53" s="35" t="s">
        <v>15</v>
      </c>
      <c r="E53" s="112">
        <f>0.67*SUM(D5:D14)</f>
        <v>6.03</v>
      </c>
    </row>
    <row r="56" spans="2:17" ht="17" thickBot="1">
      <c r="B56" s="141" t="s">
        <v>174</v>
      </c>
      <c r="G56" t="s">
        <v>126</v>
      </c>
    </row>
    <row r="57" spans="2:17" ht="65" customHeight="1" thickBot="1">
      <c r="B57" s="17" t="s">
        <v>139</v>
      </c>
      <c r="C57" s="159" t="s">
        <v>141</v>
      </c>
      <c r="D57" s="159" t="s">
        <v>142</v>
      </c>
      <c r="E57" s="159" t="s">
        <v>143</v>
      </c>
      <c r="G57" s="125" t="s">
        <v>127</v>
      </c>
      <c r="H57" s="224" t="s">
        <v>128</v>
      </c>
      <c r="I57" s="225"/>
      <c r="J57" s="224" t="s">
        <v>129</v>
      </c>
      <c r="K57" s="225"/>
      <c r="L57" s="224" t="s">
        <v>130</v>
      </c>
      <c r="M57" s="225"/>
    </row>
    <row r="58" spans="2:17" ht="19">
      <c r="B58" s="16" t="s">
        <v>140</v>
      </c>
      <c r="C58" s="183">
        <v>21</v>
      </c>
      <c r="D58" s="16">
        <v>4</v>
      </c>
      <c r="E58" s="183">
        <f>C58*D58</f>
        <v>84</v>
      </c>
      <c r="G58" s="132" t="s">
        <v>17</v>
      </c>
      <c r="H58" s="228">
        <v>0</v>
      </c>
      <c r="I58" s="229">
        <v>0</v>
      </c>
      <c r="J58" s="228">
        <v>2</v>
      </c>
      <c r="K58" s="229">
        <v>2</v>
      </c>
      <c r="L58" s="228">
        <v>2</v>
      </c>
      <c r="M58" s="230">
        <v>2</v>
      </c>
      <c r="O58" s="91"/>
      <c r="P58" s="92" t="s">
        <v>120</v>
      </c>
      <c r="Q58" s="92"/>
    </row>
    <row r="59" spans="2:17" ht="19">
      <c r="B59" s="8" t="s">
        <v>144</v>
      </c>
      <c r="C59" s="182">
        <v>38</v>
      </c>
      <c r="D59" s="8">
        <v>7</v>
      </c>
      <c r="E59" s="182">
        <f>C59*D59</f>
        <v>266</v>
      </c>
      <c r="G59" s="130" t="s">
        <v>18</v>
      </c>
      <c r="H59" s="231">
        <v>0</v>
      </c>
      <c r="I59" s="232">
        <v>0</v>
      </c>
      <c r="J59" s="231">
        <v>0</v>
      </c>
      <c r="K59" s="232">
        <v>0</v>
      </c>
      <c r="L59" s="231">
        <v>2</v>
      </c>
      <c r="M59" s="233">
        <v>2</v>
      </c>
      <c r="O59" s="93"/>
      <c r="P59" s="94" t="s">
        <v>118</v>
      </c>
      <c r="Q59" s="94"/>
    </row>
    <row r="60" spans="2:17" ht="19">
      <c r="B60" s="170" t="s">
        <v>175</v>
      </c>
      <c r="G60" s="130" t="s">
        <v>19</v>
      </c>
      <c r="H60" s="231">
        <v>0</v>
      </c>
      <c r="I60" s="232">
        <v>0</v>
      </c>
      <c r="J60" s="231">
        <v>3</v>
      </c>
      <c r="K60" s="232">
        <v>3</v>
      </c>
      <c r="L60" s="231">
        <v>3</v>
      </c>
      <c r="M60" s="233">
        <v>3</v>
      </c>
    </row>
    <row r="61" spans="2:17" ht="19">
      <c r="B61" s="8" t="s">
        <v>149</v>
      </c>
      <c r="C61" s="8">
        <f>SUM(D5:D7)</f>
        <v>7</v>
      </c>
      <c r="G61" s="130" t="s">
        <v>20</v>
      </c>
      <c r="H61" s="234">
        <v>4</v>
      </c>
      <c r="I61" s="235">
        <v>4</v>
      </c>
      <c r="J61" s="234">
        <v>2</v>
      </c>
      <c r="K61" s="235">
        <v>2</v>
      </c>
      <c r="L61" s="234">
        <v>2</v>
      </c>
      <c r="M61" s="236">
        <v>2</v>
      </c>
    </row>
    <row r="62" spans="2:17" ht="19">
      <c r="B62" s="8" t="s">
        <v>150</v>
      </c>
      <c r="C62" s="8">
        <f>SUM(D8:D14)</f>
        <v>2</v>
      </c>
      <c r="G62" s="130" t="s">
        <v>21</v>
      </c>
      <c r="H62" s="234">
        <v>2</v>
      </c>
      <c r="I62" s="235">
        <v>2</v>
      </c>
      <c r="J62" s="234">
        <v>0</v>
      </c>
      <c r="K62" s="235">
        <v>0</v>
      </c>
      <c r="L62" s="234">
        <v>0</v>
      </c>
      <c r="M62" s="236">
        <v>0</v>
      </c>
    </row>
    <row r="63" spans="2:17" ht="19">
      <c r="G63" s="130" t="s">
        <v>22</v>
      </c>
      <c r="H63" s="234">
        <v>0</v>
      </c>
      <c r="I63" s="235">
        <v>0</v>
      </c>
      <c r="J63" s="234">
        <v>0</v>
      </c>
      <c r="K63" s="235">
        <v>0</v>
      </c>
      <c r="L63" s="234">
        <v>0</v>
      </c>
      <c r="M63" s="236">
        <v>0</v>
      </c>
    </row>
    <row r="64" spans="2:17" ht="16" customHeight="1">
      <c r="G64" s="130" t="s">
        <v>23</v>
      </c>
      <c r="H64" s="234">
        <v>2</v>
      </c>
      <c r="I64" s="235">
        <v>2</v>
      </c>
      <c r="J64" s="234">
        <v>2</v>
      </c>
      <c r="K64" s="235">
        <v>2</v>
      </c>
      <c r="L64" s="234">
        <v>0</v>
      </c>
      <c r="M64" s="236">
        <v>0</v>
      </c>
    </row>
    <row r="65" spans="7:13" ht="16" customHeight="1">
      <c r="G65" s="130" t="s">
        <v>24</v>
      </c>
      <c r="H65" s="234">
        <v>1</v>
      </c>
      <c r="I65" s="235">
        <v>1</v>
      </c>
      <c r="J65" s="234">
        <v>0</v>
      </c>
      <c r="K65" s="235">
        <v>0</v>
      </c>
      <c r="L65" s="234">
        <v>0</v>
      </c>
      <c r="M65" s="236">
        <v>0</v>
      </c>
    </row>
    <row r="66" spans="7:13" ht="19">
      <c r="G66" s="130" t="s">
        <v>25</v>
      </c>
      <c r="H66" s="234">
        <v>0</v>
      </c>
      <c r="I66" s="235">
        <v>0</v>
      </c>
      <c r="J66" s="234">
        <v>0</v>
      </c>
      <c r="K66" s="235">
        <v>0</v>
      </c>
      <c r="L66" s="234">
        <v>0</v>
      </c>
      <c r="M66" s="236">
        <v>0</v>
      </c>
    </row>
    <row r="67" spans="7:13" ht="17" customHeight="1">
      <c r="G67" s="130" t="s">
        <v>26</v>
      </c>
      <c r="H67" s="237">
        <v>3</v>
      </c>
      <c r="I67" s="238">
        <v>3</v>
      </c>
      <c r="J67" s="237">
        <v>0</v>
      </c>
      <c r="K67" s="238">
        <v>0</v>
      </c>
      <c r="L67" s="237">
        <v>0</v>
      </c>
      <c r="M67" s="239">
        <v>0</v>
      </c>
    </row>
    <row r="68" spans="7:13">
      <c r="G68" s="126" t="s">
        <v>131</v>
      </c>
      <c r="H68" s="240">
        <v>12</v>
      </c>
      <c r="I68" s="240"/>
      <c r="J68" s="241">
        <v>9</v>
      </c>
      <c r="K68" s="242"/>
      <c r="L68" s="241">
        <v>9</v>
      </c>
      <c r="M68" s="243"/>
    </row>
    <row r="69" spans="7:13" ht="17" thickBot="1">
      <c r="G69" s="127" t="s">
        <v>132</v>
      </c>
      <c r="H69" s="244">
        <v>1008</v>
      </c>
      <c r="I69" s="244"/>
      <c r="J69" s="244">
        <v>1666</v>
      </c>
      <c r="K69" s="244"/>
      <c r="L69" s="244">
        <v>2030</v>
      </c>
      <c r="M69" s="245"/>
    </row>
  </sheetData>
  <mergeCells count="41">
    <mergeCell ref="H69:I69"/>
    <mergeCell ref="J69:K69"/>
    <mergeCell ref="L69:M69"/>
    <mergeCell ref="H67:I67"/>
    <mergeCell ref="J67:K67"/>
    <mergeCell ref="L67:M67"/>
    <mergeCell ref="H68:I68"/>
    <mergeCell ref="J68:K68"/>
    <mergeCell ref="L68:M68"/>
    <mergeCell ref="H65:I65"/>
    <mergeCell ref="J65:K65"/>
    <mergeCell ref="L65:M65"/>
    <mergeCell ref="H66:I66"/>
    <mergeCell ref="J66:K66"/>
    <mergeCell ref="L66:M66"/>
    <mergeCell ref="H63:I63"/>
    <mergeCell ref="J63:K63"/>
    <mergeCell ref="L63:M63"/>
    <mergeCell ref="H64:I64"/>
    <mergeCell ref="J64:K64"/>
    <mergeCell ref="L64:M64"/>
    <mergeCell ref="H61:I61"/>
    <mergeCell ref="J61:K61"/>
    <mergeCell ref="L61:M61"/>
    <mergeCell ref="H62:I62"/>
    <mergeCell ref="J62:K62"/>
    <mergeCell ref="L62:M62"/>
    <mergeCell ref="H59:I59"/>
    <mergeCell ref="J59:K59"/>
    <mergeCell ref="L59:M59"/>
    <mergeCell ref="H60:I60"/>
    <mergeCell ref="J60:K60"/>
    <mergeCell ref="L60:M60"/>
    <mergeCell ref="H58:I58"/>
    <mergeCell ref="J58:K58"/>
    <mergeCell ref="L58:M58"/>
    <mergeCell ref="A1:L1"/>
    <mergeCell ref="B16:D16"/>
    <mergeCell ref="H57:I57"/>
    <mergeCell ref="J57:K57"/>
    <mergeCell ref="L57:M57"/>
  </mergeCells>
  <pageMargins left="0.7" right="0.7" top="0.75" bottom="0.75" header="0.3" footer="0.3"/>
  <ignoredErrors>
    <ignoredError sqref="C61"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Q1-Formulation</vt:lpstr>
      <vt:lpstr>Q2-sol-2</vt:lpstr>
      <vt:lpstr>Q3-sol-3</vt:lpstr>
      <vt:lpstr>Q4-sol-4</vt:lpstr>
      <vt:lpstr>Q5 -one-way inputs</vt:lpstr>
      <vt:lpstr>Q5-sensitivity analysis</vt:lpstr>
      <vt:lpstr>Q5 -two-way-inputs</vt:lpstr>
      <vt:lpstr>Q5-two-way sensitvity</vt:lpstr>
      <vt:lpstr>'Q5-sensitivity analysis'!ChartData</vt:lpstr>
      <vt:lpstr>'Q5-two-way sensitvity'!ChartData1</vt:lpstr>
      <vt:lpstr>'Q5-two-way sensitvity'!ChartData2</vt:lpstr>
      <vt:lpstr>'Q5-sensitivity analysis'!InputValues</vt:lpstr>
      <vt:lpstr>'Q5-two-way sensitvity'!InputValues1</vt:lpstr>
      <vt:lpstr>'Q5-two-way sensitvity'!InputValues2</vt:lpstr>
      <vt:lpstr>'Q5-sensitivity analysis'!OutputAddresses</vt:lpstr>
      <vt:lpstr>'Q5-two-way sensitvity'!OutputAddresses</vt:lpstr>
      <vt:lpstr>'Q5-sensitivity analysis'!OutputValues</vt:lpstr>
      <vt:lpstr>'Q5-two-way sensitvity'!OutputValues_1</vt:lpstr>
      <vt:lpstr>'Q5-two-way sensitvity'!OutputValues_2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2020-09-06T04:46:13Z</dcterms:created>
  <dcterms:modified xsi:type="dcterms:W3CDTF">2020-09-14T01:05:52Z</dcterms:modified>
</cp:coreProperties>
</file>