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path-my.sharepoint.com/personal/astauter_summitpathology_com/Documents/Documents/practice/data/"/>
    </mc:Choice>
  </mc:AlternateContent>
  <xr:revisionPtr revIDLastSave="6866" documentId="11_E60897F41BE170836B02CE998F75CCDC64E183C8" xr6:coauthVersionLast="46" xr6:coauthVersionMax="46" xr10:uidLastSave="{BF90CAAD-B14E-4D26-9B4C-0E1421CBBE43}"/>
  <bookViews>
    <workbookView xWindow="-110" yWindow="-110" windowWidth="19420" windowHeight="10420" activeTab="2" xr2:uid="{00000000-000D-0000-FFFF-FFFF00000000}"/>
  </bookViews>
  <sheets>
    <sheet name="Total" sheetId="3" r:id="rId1"/>
    <sheet name="Charges" sheetId="1" r:id="rId2"/>
    <sheet name="Payments" sheetId="2" r:id="rId3"/>
  </sheets>
  <definedNames>
    <definedName name="_xlnm._FilterDatabase" localSheetId="1" hidden="1">Charges!$A$1:$I$754</definedName>
    <definedName name="_xlnm._FilterDatabase" localSheetId="2" hidden="1">Payments!$A$1:$H$634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6" i="2"/>
  <c r="C18" i="2"/>
  <c r="C19" i="2"/>
  <c r="C21" i="2"/>
  <c r="C28" i="2"/>
  <c r="C29" i="2"/>
  <c r="C30" i="2"/>
  <c r="C31" i="2"/>
  <c r="C32" i="2"/>
  <c r="C33" i="2"/>
  <c r="C39" i="2"/>
  <c r="C45" i="2"/>
  <c r="C47" i="2"/>
  <c r="C48" i="2"/>
  <c r="C56" i="2"/>
  <c r="C58" i="2"/>
  <c r="C61" i="2"/>
  <c r="C62" i="2"/>
  <c r="C63" i="2"/>
  <c r="C64" i="2"/>
  <c r="C65" i="2"/>
  <c r="C66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105" i="2"/>
  <c r="C110" i="2"/>
  <c r="C111" i="2"/>
  <c r="C113" i="2"/>
  <c r="C114" i="2"/>
  <c r="C125" i="2"/>
  <c r="C129" i="2"/>
  <c r="C132" i="2"/>
  <c r="C133" i="2"/>
  <c r="C139" i="2"/>
  <c r="C140" i="2"/>
  <c r="C141" i="2"/>
  <c r="C142" i="2"/>
  <c r="C143" i="2"/>
  <c r="C144" i="2"/>
  <c r="C146" i="2"/>
  <c r="C150" i="2"/>
  <c r="C152" i="2"/>
  <c r="C171" i="2"/>
  <c r="C175" i="2"/>
  <c r="C176" i="2"/>
  <c r="C178" i="2"/>
  <c r="C181" i="2"/>
  <c r="C183" i="2"/>
  <c r="C190" i="2"/>
  <c r="C191" i="2"/>
  <c r="C196" i="2"/>
  <c r="C197" i="2"/>
  <c r="C198" i="2"/>
  <c r="C200" i="2"/>
  <c r="C215" i="2"/>
  <c r="C216" i="2"/>
  <c r="C218" i="2"/>
  <c r="C220" i="2"/>
  <c r="C221" i="2"/>
  <c r="C222" i="2"/>
  <c r="C239" i="2"/>
  <c r="C240" i="2"/>
  <c r="C252" i="2"/>
  <c r="C253" i="2"/>
  <c r="C256" i="2"/>
  <c r="C258" i="2"/>
  <c r="C265" i="2"/>
  <c r="C271" i="2"/>
  <c r="C272" i="2"/>
  <c r="C273" i="2"/>
  <c r="C274" i="2"/>
  <c r="C275" i="2"/>
  <c r="C276" i="2"/>
  <c r="C277" i="2"/>
  <c r="C278" i="2"/>
  <c r="C281" i="2"/>
  <c r="C282" i="2"/>
  <c r="C290" i="2"/>
  <c r="C291" i="2"/>
  <c r="C304" i="2"/>
  <c r="C306" i="2"/>
  <c r="C307" i="2"/>
  <c r="C309" i="2"/>
  <c r="C312" i="2"/>
  <c r="C313" i="2"/>
  <c r="C314" i="2"/>
  <c r="C316" i="2"/>
  <c r="C335" i="2"/>
  <c r="C337" i="2"/>
  <c r="C338" i="2"/>
  <c r="C339" i="2"/>
  <c r="C340" i="2"/>
  <c r="C341" i="2"/>
  <c r="C342" i="2"/>
  <c r="C346" i="2"/>
  <c r="C347" i="2"/>
  <c r="C348" i="2"/>
  <c r="C349" i="2"/>
  <c r="C357" i="2"/>
  <c r="C358" i="2"/>
  <c r="C359" i="2"/>
  <c r="C360" i="2"/>
  <c r="C361" i="2"/>
  <c r="C364" i="2"/>
  <c r="C372" i="2"/>
  <c r="C374" i="2"/>
  <c r="C375" i="2"/>
  <c r="C379" i="2"/>
  <c r="C380" i="2"/>
  <c r="C381" i="2"/>
  <c r="C382" i="2"/>
  <c r="C390" i="2"/>
  <c r="C406" i="2"/>
  <c r="C417" i="2"/>
  <c r="C419" i="2"/>
  <c r="C423" i="2"/>
  <c r="C434" i="2"/>
  <c r="C435" i="2"/>
  <c r="C440" i="2"/>
  <c r="C442" i="2"/>
  <c r="C450" i="2"/>
  <c r="C451" i="2"/>
  <c r="C455" i="2"/>
  <c r="C460" i="2"/>
  <c r="C468" i="2"/>
  <c r="C470" i="2"/>
  <c r="C471" i="2"/>
  <c r="C472" i="2"/>
  <c r="C473" i="2"/>
  <c r="C474" i="2"/>
  <c r="C478" i="2"/>
  <c r="C479" i="2"/>
  <c r="C480" i="2"/>
  <c r="C481" i="2"/>
  <c r="C485" i="2"/>
  <c r="C486" i="2"/>
  <c r="C487" i="2"/>
  <c r="C488" i="2"/>
  <c r="C490" i="2"/>
  <c r="C491" i="2"/>
  <c r="C492" i="2"/>
  <c r="C496" i="2"/>
  <c r="C499" i="2"/>
  <c r="C504" i="2"/>
  <c r="C505" i="2"/>
  <c r="C510" i="2"/>
  <c r="C518" i="2"/>
  <c r="C519" i="2"/>
  <c r="C528" i="2"/>
  <c r="C529" i="2"/>
  <c r="C530" i="2"/>
  <c r="C531" i="2"/>
  <c r="C532" i="2"/>
  <c r="C535" i="2"/>
  <c r="C536" i="2"/>
  <c r="C537" i="2"/>
  <c r="C538" i="2"/>
  <c r="C541" i="2"/>
  <c r="C543" i="2"/>
  <c r="C545" i="2"/>
  <c r="C564" i="2"/>
  <c r="C565" i="2"/>
  <c r="C568" i="2"/>
  <c r="C569" i="2"/>
  <c r="C573" i="2"/>
  <c r="C585" i="2"/>
  <c r="C586" i="2"/>
  <c r="C587" i="2"/>
  <c r="C603" i="2"/>
  <c r="C624" i="2"/>
  <c r="C626" i="2"/>
  <c r="C627" i="2"/>
  <c r="C628" i="2"/>
  <c r="C629" i="2"/>
  <c r="C632" i="2"/>
  <c r="C633" i="2"/>
  <c r="C634" i="2"/>
  <c r="D2" i="3"/>
  <c r="E2" i="3" s="1"/>
  <c r="D59" i="3"/>
  <c r="E59" i="3" s="1"/>
  <c r="C58" i="3"/>
  <c r="C59" i="3"/>
  <c r="D12" i="3"/>
  <c r="E12" i="3" s="1"/>
  <c r="E724" i="1"/>
  <c r="E719" i="1"/>
  <c r="E716" i="1"/>
  <c r="E714" i="1"/>
  <c r="E711" i="1"/>
  <c r="E708" i="1"/>
  <c r="E706" i="1"/>
  <c r="E704" i="1"/>
  <c r="E701" i="1"/>
  <c r="E698" i="1"/>
  <c r="E697" i="1"/>
  <c r="E694" i="1"/>
  <c r="E692" i="1"/>
  <c r="E690" i="1"/>
  <c r="E688" i="1"/>
  <c r="E686" i="1"/>
  <c r="E683" i="1"/>
  <c r="E680" i="1"/>
  <c r="E660" i="1"/>
  <c r="E654" i="1"/>
  <c r="E652" i="1"/>
  <c r="E651" i="1"/>
  <c r="E647" i="1"/>
  <c r="E644" i="1"/>
  <c r="E642" i="1"/>
  <c r="E640" i="1"/>
  <c r="E637" i="1"/>
  <c r="E634" i="1"/>
  <c r="E633" i="1"/>
  <c r="E630" i="1"/>
  <c r="E628" i="1"/>
  <c r="E626" i="1"/>
  <c r="E624" i="1"/>
  <c r="E622" i="1"/>
  <c r="E619" i="1"/>
  <c r="E616" i="1"/>
  <c r="E591" i="1"/>
  <c r="E587" i="1"/>
  <c r="E586" i="1"/>
  <c r="E582" i="1"/>
  <c r="E580" i="1"/>
  <c r="E579" i="1"/>
  <c r="E578" i="1"/>
  <c r="E577" i="1"/>
  <c r="E576" i="1"/>
  <c r="E575" i="1"/>
  <c r="E571" i="1"/>
  <c r="E568" i="1"/>
  <c r="E566" i="1"/>
  <c r="E564" i="1"/>
  <c r="E561" i="1"/>
  <c r="E557" i="1"/>
  <c r="E555" i="1"/>
  <c r="E552" i="1"/>
  <c r="E550" i="1"/>
  <c r="E548" i="1"/>
  <c r="E546" i="1"/>
  <c r="E544" i="1"/>
  <c r="E541" i="1"/>
  <c r="E538" i="1"/>
  <c r="E519" i="1"/>
  <c r="E514" i="1"/>
  <c r="E512" i="1"/>
  <c r="E511" i="1"/>
  <c r="E507" i="1"/>
  <c r="E504" i="1"/>
  <c r="E502" i="1"/>
  <c r="E500" i="1"/>
  <c r="E497" i="1"/>
  <c r="E494" i="1"/>
  <c r="E491" i="1"/>
  <c r="E489" i="1"/>
  <c r="E487" i="1"/>
  <c r="E485" i="1"/>
  <c r="E483" i="1"/>
  <c r="E480" i="1"/>
  <c r="E477" i="1"/>
  <c r="E457" i="1"/>
  <c r="E452" i="1"/>
  <c r="E450" i="1"/>
  <c r="E448" i="1"/>
  <c r="E444" i="1"/>
  <c r="E441" i="1"/>
  <c r="E439" i="1"/>
  <c r="E437" i="1"/>
  <c r="E434" i="1"/>
  <c r="E431" i="1"/>
  <c r="E430" i="1"/>
  <c r="E427" i="1"/>
  <c r="E425" i="1"/>
  <c r="E423" i="1"/>
  <c r="E421" i="1"/>
  <c r="E419" i="1"/>
  <c r="E416" i="1"/>
  <c r="E413" i="1"/>
  <c r="E393" i="1"/>
  <c r="E389" i="1"/>
  <c r="E388" i="1"/>
  <c r="E385" i="1"/>
  <c r="E382" i="1"/>
  <c r="E381" i="1"/>
  <c r="E380" i="1"/>
  <c r="E379" i="1"/>
  <c r="E378" i="1"/>
  <c r="E377" i="1"/>
  <c r="E376" i="1"/>
  <c r="E372" i="1"/>
  <c r="E369" i="1"/>
  <c r="E367" i="1"/>
  <c r="E365" i="1"/>
  <c r="E362" i="1"/>
  <c r="E357" i="1"/>
  <c r="E356" i="1"/>
  <c r="E352" i="1"/>
  <c r="E350" i="1"/>
  <c r="E348" i="1"/>
  <c r="E346" i="1"/>
  <c r="E344" i="1"/>
  <c r="E341" i="1"/>
  <c r="E338" i="1"/>
  <c r="E317" i="1"/>
  <c r="E312" i="1"/>
  <c r="E310" i="1"/>
  <c r="E309" i="1"/>
  <c r="E307" i="1"/>
  <c r="E303" i="1"/>
  <c r="E300" i="1"/>
  <c r="E298" i="1"/>
  <c r="E296" i="1"/>
  <c r="E293" i="1"/>
  <c r="E291" i="1"/>
  <c r="E290" i="1"/>
  <c r="E287" i="1"/>
  <c r="E285" i="1"/>
  <c r="E283" i="1"/>
  <c r="E281" i="1"/>
  <c r="E279" i="1"/>
  <c r="E276" i="1"/>
  <c r="E273" i="1"/>
  <c r="E254" i="1"/>
  <c r="E249" i="1"/>
  <c r="E246" i="1"/>
  <c r="E242" i="1"/>
  <c r="E239" i="1"/>
  <c r="E237" i="1"/>
  <c r="E235" i="1"/>
  <c r="E232" i="1"/>
  <c r="E230" i="1"/>
  <c r="E229" i="1"/>
  <c r="E226" i="1"/>
  <c r="E224" i="1"/>
  <c r="E222" i="1"/>
  <c r="E220" i="1"/>
  <c r="E218" i="1"/>
  <c r="E215" i="1"/>
  <c r="E212" i="1"/>
  <c r="E199" i="1"/>
  <c r="E186" i="1"/>
  <c r="E182" i="1"/>
  <c r="E181" i="1"/>
  <c r="E177" i="1"/>
  <c r="E174" i="1"/>
  <c r="E173" i="1"/>
  <c r="E172" i="1"/>
  <c r="E168" i="1"/>
  <c r="E165" i="1"/>
  <c r="E163" i="1"/>
  <c r="E161" i="1"/>
  <c r="E158" i="1"/>
  <c r="E156" i="1"/>
  <c r="E154" i="1"/>
  <c r="E152" i="1"/>
  <c r="E149" i="1"/>
  <c r="E147" i="1"/>
  <c r="E145" i="1"/>
  <c r="E143" i="1"/>
  <c r="E141" i="1"/>
  <c r="E138" i="1"/>
  <c r="E135" i="1"/>
  <c r="E115" i="1"/>
  <c r="E110" i="1"/>
  <c r="E108" i="1"/>
  <c r="E107" i="1"/>
  <c r="E106" i="1"/>
  <c r="E105" i="1"/>
  <c r="E104" i="1"/>
  <c r="E103" i="1"/>
  <c r="E102" i="1"/>
  <c r="E98" i="1"/>
  <c r="E95" i="1"/>
  <c r="E93" i="1"/>
  <c r="E91" i="1"/>
  <c r="E88" i="1"/>
  <c r="E85" i="1"/>
  <c r="E84" i="1"/>
  <c r="E81" i="1"/>
  <c r="E79" i="1"/>
  <c r="E77" i="1"/>
  <c r="E75" i="1"/>
  <c r="E73" i="1"/>
  <c r="E70" i="1"/>
  <c r="E67" i="1"/>
  <c r="E48" i="1"/>
  <c r="E43" i="1"/>
  <c r="E41" i="1"/>
  <c r="E40" i="1"/>
  <c r="E39" i="1"/>
  <c r="E38" i="1"/>
  <c r="E34" i="1"/>
  <c r="E31" i="1"/>
  <c r="E29" i="1"/>
  <c r="E27" i="1"/>
  <c r="E24" i="1"/>
  <c r="E21" i="1"/>
  <c r="E20" i="1"/>
  <c r="E17" i="1"/>
  <c r="E15" i="1"/>
  <c r="E13" i="1"/>
  <c r="E11" i="1"/>
  <c r="E6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2" i="1"/>
  <c r="C18" i="3"/>
  <c r="C17" i="3"/>
  <c r="C7" i="3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C34" i="3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9" i="3"/>
  <c r="E9" i="3" s="1"/>
  <c r="D7" i="3"/>
  <c r="E7" i="3" s="1"/>
  <c r="D4" i="3"/>
  <c r="E4" i="3" s="1"/>
  <c r="D11" i="3"/>
  <c r="E11" i="3" s="1"/>
  <c r="D5" i="3"/>
  <c r="E5" i="3" s="1"/>
  <c r="D6" i="3"/>
  <c r="E6" i="3" s="1"/>
  <c r="D8" i="3"/>
  <c r="E8" i="3" s="1"/>
  <c r="D10" i="3"/>
  <c r="E10" i="3" s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3" i="3"/>
  <c r="C31" i="3"/>
  <c r="C28" i="3"/>
  <c r="C27" i="3"/>
  <c r="C9" i="3"/>
  <c r="C16" i="3"/>
  <c r="C14" i="3"/>
  <c r="C13" i="3"/>
  <c r="C38" i="3"/>
  <c r="C30" i="3"/>
  <c r="C29" i="3"/>
  <c r="C12" i="3"/>
  <c r="C25" i="3"/>
  <c r="C24" i="3"/>
  <c r="C23" i="3"/>
  <c r="C22" i="3"/>
  <c r="C32" i="3"/>
  <c r="C26" i="3"/>
  <c r="C21" i="3"/>
  <c r="C20" i="3"/>
  <c r="C19" i="3"/>
  <c r="C15" i="3"/>
  <c r="C11" i="3"/>
  <c r="C10" i="3"/>
  <c r="C8" i="3"/>
  <c r="C6" i="3"/>
  <c r="C5" i="3"/>
  <c r="C4" i="3"/>
  <c r="C3" i="3"/>
  <c r="C2" i="3"/>
  <c r="D3" i="3" l="1"/>
  <c r="E3" i="3" s="1"/>
</calcChain>
</file>

<file path=xl/sharedStrings.xml><?xml version="1.0" encoding="utf-8"?>
<sst xmlns="http://schemas.openxmlformats.org/spreadsheetml/2006/main" count="4525" uniqueCount="878">
  <si>
    <t xml:space="preserve">Group </t>
  </si>
  <si>
    <t>Client</t>
  </si>
  <si>
    <t>Total_charges</t>
  </si>
  <si>
    <t>Total_payments</t>
  </si>
  <si>
    <t>Total</t>
  </si>
  <si>
    <t>BANNER</t>
  </si>
  <si>
    <t>NCMC</t>
  </si>
  <si>
    <t>MCKEE</t>
  </si>
  <si>
    <t>SRMC</t>
  </si>
  <si>
    <t>EMC</t>
  </si>
  <si>
    <t>OCH</t>
  </si>
  <si>
    <t>BFCMC</t>
  </si>
  <si>
    <t>PCMH</t>
  </si>
  <si>
    <t>PCMH COURIER</t>
  </si>
  <si>
    <t>TCH</t>
  </si>
  <si>
    <t>HORIZON</t>
  </si>
  <si>
    <t>MELISSA MEM</t>
  </si>
  <si>
    <t>UCHealth</t>
  </si>
  <si>
    <t>PVH</t>
  </si>
  <si>
    <t>MCR</t>
  </si>
  <si>
    <t>PVMG</t>
  </si>
  <si>
    <t>GREELEY</t>
  </si>
  <si>
    <t>MHS-CENTRAL</t>
  </si>
  <si>
    <t>MHS-NORTH</t>
  </si>
  <si>
    <t>GRANDVIEW</t>
  </si>
  <si>
    <t>PIKES PEAK</t>
  </si>
  <si>
    <t>CHILDREN'S</t>
  </si>
  <si>
    <t>BMC FRED</t>
  </si>
  <si>
    <t>FMC FRED</t>
  </si>
  <si>
    <t>MMC FRED</t>
  </si>
  <si>
    <t>NPMC FRED</t>
  </si>
  <si>
    <t>CPMC</t>
  </si>
  <si>
    <t>EPMC</t>
  </si>
  <si>
    <t>SPL</t>
  </si>
  <si>
    <t>CFG</t>
  </si>
  <si>
    <t>LTACH</t>
  </si>
  <si>
    <t xml:space="preserve">CHEYENNE VA </t>
  </si>
  <si>
    <t xml:space="preserve">CRMC </t>
  </si>
  <si>
    <t>CRMC EXPENSES</t>
  </si>
  <si>
    <t>DOUGLAS (MHCC)</t>
  </si>
  <si>
    <t>KIMBALL</t>
  </si>
  <si>
    <t>RAWLINS</t>
  </si>
  <si>
    <t>IVINSON</t>
  </si>
  <si>
    <t>DIVINE DERM (seen in Clinic billing but is SP's)</t>
  </si>
  <si>
    <t>PEAK GASTRO (seen in Clinic billing but is SP's)</t>
  </si>
  <si>
    <t>LCHC</t>
  </si>
  <si>
    <t>ST MATTHEWS</t>
  </si>
  <si>
    <t>SUNRISE/MONFORT</t>
  </si>
  <si>
    <t>PLANNED PARENTHOOD</t>
  </si>
  <si>
    <t>ADAMS CTY</t>
  </si>
  <si>
    <t>ARAPAHOE CTY</t>
  </si>
  <si>
    <t>AUTOPSY CTR OF CO</t>
  </si>
  <si>
    <t>BOULDER CTY</t>
  </si>
  <si>
    <t>BURSON</t>
  </si>
  <si>
    <t>CARVER</t>
  </si>
  <si>
    <t>CINA</t>
  </si>
  <si>
    <t>CLEAR CREEK</t>
  </si>
  <si>
    <t>DOUGLAS CTY CORONER</t>
  </si>
  <si>
    <t>GILPIN CTY</t>
  </si>
  <si>
    <t>JEFFERSON CTY</t>
  </si>
  <si>
    <t>LARIMER COUNTY</t>
  </si>
  <si>
    <t>LINGAMFELTER</t>
  </si>
  <si>
    <t>SUMMIT CTY</t>
  </si>
  <si>
    <t>WILKERSON</t>
  </si>
  <si>
    <t>Group</t>
  </si>
  <si>
    <t>Invoice_num</t>
  </si>
  <si>
    <t>Charge_Type</t>
  </si>
  <si>
    <t>Payment</t>
  </si>
  <si>
    <t>SPL_Share</t>
  </si>
  <si>
    <t>Notes</t>
  </si>
  <si>
    <t>Banner</t>
  </si>
  <si>
    <t>20200112TC8001</t>
  </si>
  <si>
    <t>Tech</t>
  </si>
  <si>
    <t>20200112PC8001</t>
  </si>
  <si>
    <t>Professional</t>
  </si>
  <si>
    <t>20200127TC8001</t>
  </si>
  <si>
    <t>20200112TC8002</t>
  </si>
  <si>
    <t xml:space="preserve">Tech </t>
  </si>
  <si>
    <t>20200112PC8002</t>
  </si>
  <si>
    <t>20200127TC8002</t>
  </si>
  <si>
    <t>20200127TC678370</t>
  </si>
  <si>
    <t>20200127PC678370</t>
  </si>
  <si>
    <t>20200127TC8003</t>
  </si>
  <si>
    <t>20200127PC8003</t>
  </si>
  <si>
    <t>20200127TC8004</t>
  </si>
  <si>
    <t>20200127PC8004</t>
  </si>
  <si>
    <t>20200127TC8009</t>
  </si>
  <si>
    <t>20200127PC8009</t>
  </si>
  <si>
    <t>20200127TC600</t>
  </si>
  <si>
    <t>20200127PC600</t>
  </si>
  <si>
    <t>January PCMH Cour</t>
  </si>
  <si>
    <t>20200127TC450</t>
  </si>
  <si>
    <t>20200127PC450</t>
  </si>
  <si>
    <t>January Horizon</t>
  </si>
  <si>
    <t>20200127TC6222</t>
  </si>
  <si>
    <t>20200112TC678620</t>
  </si>
  <si>
    <t>20200112PC678620</t>
  </si>
  <si>
    <t>20200127TC678620</t>
  </si>
  <si>
    <t>20200112TC678621</t>
  </si>
  <si>
    <t xml:space="preserve">MCR </t>
  </si>
  <si>
    <t>20200112PC678621</t>
  </si>
  <si>
    <t>20200127TC678621</t>
  </si>
  <si>
    <t>January PVMG</t>
  </si>
  <si>
    <t>20200112TC678624</t>
  </si>
  <si>
    <t>20200112PC678624</t>
  </si>
  <si>
    <t>20200127TC678624</t>
  </si>
  <si>
    <t>20200127TC678619</t>
  </si>
  <si>
    <t>20200127PC678619</t>
  </si>
  <si>
    <t>January MHSC</t>
  </si>
  <si>
    <t>LIGO</t>
  </si>
  <si>
    <t>20200127TC678618</t>
  </si>
  <si>
    <t>January MHSN</t>
  </si>
  <si>
    <t>20200127PC678617</t>
  </si>
  <si>
    <t>2020127PC16420</t>
  </si>
  <si>
    <t>January Childrens</t>
  </si>
  <si>
    <t>January BMC</t>
  </si>
  <si>
    <t>20200127TC912345</t>
  </si>
  <si>
    <t>20200127PC912345</t>
  </si>
  <si>
    <t>20200127TC8008</t>
  </si>
  <si>
    <t>CHEYENNE VA</t>
  </si>
  <si>
    <t>20200112TC8750</t>
  </si>
  <si>
    <t>20200127TC8750</t>
  </si>
  <si>
    <t>20200127TC718</t>
  </si>
  <si>
    <t xml:space="preserve">   </t>
  </si>
  <si>
    <t>CRMC</t>
  </si>
  <si>
    <t>20200127PC718</t>
  </si>
  <si>
    <t>20200127TC833</t>
  </si>
  <si>
    <t>20200127PC833</t>
  </si>
  <si>
    <t>January Kimball</t>
  </si>
  <si>
    <t>20200127TC905</t>
  </si>
  <si>
    <t>20200127PC905</t>
  </si>
  <si>
    <t>IVINSON MEM</t>
  </si>
  <si>
    <t>20200127TC1601</t>
  </si>
  <si>
    <t>20200127PC1601</t>
  </si>
  <si>
    <t>January Boulder Cty A</t>
  </si>
  <si>
    <t>AUTOPSY</t>
  </si>
  <si>
    <t>January Boulder Cty PC</t>
  </si>
  <si>
    <t>January Burson</t>
  </si>
  <si>
    <t>January Carver</t>
  </si>
  <si>
    <t>January Cina</t>
  </si>
  <si>
    <t>DOUGLAS CTY COURIER</t>
  </si>
  <si>
    <t>January Douglas Cty Cour</t>
  </si>
  <si>
    <t>January Jefferson Cty</t>
  </si>
  <si>
    <t>January Larimer County</t>
  </si>
  <si>
    <t>January Summit Cty</t>
  </si>
  <si>
    <t>January Wilkerson</t>
  </si>
  <si>
    <t>20200212TC8001</t>
  </si>
  <si>
    <t>20200212PC8001</t>
  </si>
  <si>
    <t>20200227TC8001</t>
  </si>
  <si>
    <t>20200212TC8002</t>
  </si>
  <si>
    <t>20200212PC8002</t>
  </si>
  <si>
    <t>20200227TC8002</t>
  </si>
  <si>
    <t>20200227TC678370</t>
  </si>
  <si>
    <t>20200227PC678370</t>
  </si>
  <si>
    <t>20200227TC8003</t>
  </si>
  <si>
    <t>20200227PC8003</t>
  </si>
  <si>
    <t>20200227TC8004</t>
  </si>
  <si>
    <t>20200227PC8004</t>
  </si>
  <si>
    <t>20200227PC8009</t>
  </si>
  <si>
    <t>20200227TC8009</t>
  </si>
  <si>
    <t>20200227TC600</t>
  </si>
  <si>
    <t>20200227PC600</t>
  </si>
  <si>
    <t>February PCMH Cour</t>
  </si>
  <si>
    <t>20200227TC450</t>
  </si>
  <si>
    <t>20200227PC450</t>
  </si>
  <si>
    <t>February Horizon</t>
  </si>
  <si>
    <t>20200227TC6222</t>
  </si>
  <si>
    <t>20200212TC678620</t>
  </si>
  <si>
    <t>20200212PC678620</t>
  </si>
  <si>
    <t>20200227TC678620</t>
  </si>
  <si>
    <t>20200212TC678621</t>
  </si>
  <si>
    <t>20200212PC678621</t>
  </si>
  <si>
    <t>20200227TC678621</t>
  </si>
  <si>
    <t>February PVMG</t>
  </si>
  <si>
    <t>20200212TC678624</t>
  </si>
  <si>
    <t>20200212PC678624</t>
  </si>
  <si>
    <t>20200227TC678624</t>
  </si>
  <si>
    <t>20200227TC678619</t>
  </si>
  <si>
    <t>20200227PC678619</t>
  </si>
  <si>
    <t>February MHSC</t>
  </si>
  <si>
    <t>20200227TC678618</t>
  </si>
  <si>
    <t>February MHSN</t>
  </si>
  <si>
    <t>20200227PC678617</t>
  </si>
  <si>
    <t>2020227PC16420</t>
  </si>
  <si>
    <t>February Childrens</t>
  </si>
  <si>
    <t>February BMC</t>
  </si>
  <si>
    <t>February FMC</t>
  </si>
  <si>
    <t>February MMC</t>
  </si>
  <si>
    <t>February NPMC</t>
  </si>
  <si>
    <t>20200227TC912345</t>
  </si>
  <si>
    <t>20200227PC912345</t>
  </si>
  <si>
    <t>20200227TC8008</t>
  </si>
  <si>
    <t>20200212TC8750</t>
  </si>
  <si>
    <t>20200227TC8750</t>
  </si>
  <si>
    <t>20200227TC718</t>
  </si>
  <si>
    <t>20200227PC718</t>
  </si>
  <si>
    <t>20200227TC833</t>
  </si>
  <si>
    <t>20200227PC833</t>
  </si>
  <si>
    <t>February Kimball</t>
  </si>
  <si>
    <t>20200227TC905</t>
  </si>
  <si>
    <t>20200227PC905</t>
  </si>
  <si>
    <t>20200227TC1601</t>
  </si>
  <si>
    <t>20200227PC1601</t>
  </si>
  <si>
    <t>February Boulder Cty</t>
  </si>
  <si>
    <t>Autopsy</t>
  </si>
  <si>
    <t>February Burson</t>
  </si>
  <si>
    <t>February Carver</t>
  </si>
  <si>
    <t>February Cina</t>
  </si>
  <si>
    <t>February Clear Creek</t>
  </si>
  <si>
    <t>February Douglas Cty Cour</t>
  </si>
  <si>
    <t>February Gilpin Cty</t>
  </si>
  <si>
    <t>February Jefferson Cty</t>
  </si>
  <si>
    <t>February Larimer County</t>
  </si>
  <si>
    <t>February Summit Cty</t>
  </si>
  <si>
    <t xml:space="preserve">February Wilkerson </t>
  </si>
  <si>
    <t>20200312TC8001</t>
  </si>
  <si>
    <t>20200312PC8001</t>
  </si>
  <si>
    <t>20200327TC8001</t>
  </si>
  <si>
    <t>20200312TC8002</t>
  </si>
  <si>
    <t>20200312PC8002</t>
  </si>
  <si>
    <t>20200327TC8002</t>
  </si>
  <si>
    <t>20200327TC678370</t>
  </si>
  <si>
    <t>20200327PC678370</t>
  </si>
  <si>
    <t>20200327TC8003</t>
  </si>
  <si>
    <t>20200327PC8003</t>
  </si>
  <si>
    <t>20200327TC8004</t>
  </si>
  <si>
    <t>20200327PC8004</t>
  </si>
  <si>
    <t>20200327TC8009</t>
  </si>
  <si>
    <t>20200327PC8009</t>
  </si>
  <si>
    <t>20200327TC600</t>
  </si>
  <si>
    <t>20200327PC600</t>
  </si>
  <si>
    <t>March PCMH Cour</t>
  </si>
  <si>
    <t>20200327TC450</t>
  </si>
  <si>
    <t>20200327PC450</t>
  </si>
  <si>
    <t>March TCH sup</t>
  </si>
  <si>
    <t>Supplies</t>
  </si>
  <si>
    <t>March Horizon</t>
  </si>
  <si>
    <t>20200327TC6222</t>
  </si>
  <si>
    <t>20200327PC6222</t>
  </si>
  <si>
    <t>20200312TC678620</t>
  </si>
  <si>
    <t>20200312PC678620</t>
  </si>
  <si>
    <t>20200327TC678620</t>
  </si>
  <si>
    <t>20200312TC678621</t>
  </si>
  <si>
    <t>20200312PC678621</t>
  </si>
  <si>
    <t>20200327TC678621</t>
  </si>
  <si>
    <t>March PVMG</t>
  </si>
  <si>
    <t>20200312TC678624</t>
  </si>
  <si>
    <t>20200312PC678624</t>
  </si>
  <si>
    <t>20200327TC678624</t>
  </si>
  <si>
    <t>20200327TC678619</t>
  </si>
  <si>
    <t>20200327PC678619</t>
  </si>
  <si>
    <t>March MHSC</t>
  </si>
  <si>
    <t>20200327TC678618</t>
  </si>
  <si>
    <t>March MHSN</t>
  </si>
  <si>
    <t>20200327PC678617</t>
  </si>
  <si>
    <t>2020327PC16420</t>
  </si>
  <si>
    <t>March Childrens</t>
  </si>
  <si>
    <t>20200327TC912345</t>
  </si>
  <si>
    <t>March CPMC sup</t>
  </si>
  <si>
    <t>20200327PC912345</t>
  </si>
  <si>
    <t>20200327TC8008</t>
  </si>
  <si>
    <t>March EPMC sup</t>
  </si>
  <si>
    <t>202003227PC8008</t>
  </si>
  <si>
    <t xml:space="preserve">March CFG </t>
  </si>
  <si>
    <t>March LTACH</t>
  </si>
  <si>
    <t>20200312TC8750</t>
  </si>
  <si>
    <t>20200327TC8750</t>
  </si>
  <si>
    <t>20200327TC718</t>
  </si>
  <si>
    <t>20200327PC718</t>
  </si>
  <si>
    <t>20200327TC833</t>
  </si>
  <si>
    <t>March Douglas sup</t>
  </si>
  <si>
    <t>20200327PC833</t>
  </si>
  <si>
    <t>March Kimball TC</t>
  </si>
  <si>
    <t>March Kimball sup</t>
  </si>
  <si>
    <t>March Kimball PC</t>
  </si>
  <si>
    <t>20200327TC905</t>
  </si>
  <si>
    <t>March Rawlins sup</t>
  </si>
  <si>
    <t>20200327PC905</t>
  </si>
  <si>
    <t>20200327TC1601</t>
  </si>
  <si>
    <t>March Ivinson sup</t>
  </si>
  <si>
    <t>20200327PC1601</t>
  </si>
  <si>
    <t>March Divine Derm</t>
  </si>
  <si>
    <t>March Peak Gastro</t>
  </si>
  <si>
    <t>March Boulder Cty</t>
  </si>
  <si>
    <t>March Burson</t>
  </si>
  <si>
    <t>March Carver</t>
  </si>
  <si>
    <t>March Cina</t>
  </si>
  <si>
    <t>March Clear Creek</t>
  </si>
  <si>
    <t>March Douglas Cty Cour</t>
  </si>
  <si>
    <t>March Jefferson Cty</t>
  </si>
  <si>
    <t>March Larimer County</t>
  </si>
  <si>
    <t>March Summit Cty</t>
  </si>
  <si>
    <t>March Wilkerson</t>
  </si>
  <si>
    <t>20200412TC8001</t>
  </si>
  <si>
    <t>20200412PC8001</t>
  </si>
  <si>
    <t>20200427TC8001</t>
  </si>
  <si>
    <t>20200412TC8002</t>
  </si>
  <si>
    <t>20200412PC8002</t>
  </si>
  <si>
    <t>20200427TC8002</t>
  </si>
  <si>
    <t>20200427TC678370</t>
  </si>
  <si>
    <t>20200427PC678370</t>
  </si>
  <si>
    <t>20200427TC8003</t>
  </si>
  <si>
    <t>20200427PC8003</t>
  </si>
  <si>
    <t>20200427TC8004</t>
  </si>
  <si>
    <t>20200427PC8004</t>
  </si>
  <si>
    <t>20200427TC8009</t>
  </si>
  <si>
    <t>20200427PC8009</t>
  </si>
  <si>
    <t>20200427TC600</t>
  </si>
  <si>
    <t>credit due to Jan overpayment and is AFTER April charges</t>
  </si>
  <si>
    <t>20200427PC600</t>
  </si>
  <si>
    <t>April PCMH Cour</t>
  </si>
  <si>
    <t>20200427TC450</t>
  </si>
  <si>
    <t>20200427PC450</t>
  </si>
  <si>
    <t>April Horizon</t>
  </si>
  <si>
    <t>20200412TC678620</t>
  </si>
  <si>
    <t>20200412PC678620</t>
  </si>
  <si>
    <t>20200427TC678620</t>
  </si>
  <si>
    <t>20200412TC678621</t>
  </si>
  <si>
    <t>20200412PC678621</t>
  </si>
  <si>
    <t>20200427TC678621</t>
  </si>
  <si>
    <t>April PVMG</t>
  </si>
  <si>
    <t>20200412TC678624</t>
  </si>
  <si>
    <t>20200412PC678624</t>
  </si>
  <si>
    <t>20200427TC678624</t>
  </si>
  <si>
    <t>20200427TC678619</t>
  </si>
  <si>
    <t>20200427PC678619</t>
  </si>
  <si>
    <t>April MHSC</t>
  </si>
  <si>
    <t>Ligo</t>
  </si>
  <si>
    <t>20200427TC678618</t>
  </si>
  <si>
    <t>April MHSN</t>
  </si>
  <si>
    <t>20200427PC678617</t>
  </si>
  <si>
    <t>2020427PC16420</t>
  </si>
  <si>
    <t>Credit of $62.50 remained on account from last month. Would have been $125.00 w/o credit. $0.00 credit remains, owed $62.50 now</t>
  </si>
  <si>
    <t>20200427TC912345</t>
  </si>
  <si>
    <t>20200427PC912345</t>
  </si>
  <si>
    <t>20200427TC8008</t>
  </si>
  <si>
    <t>Note: amt determined by EPMC pd quarterly -not billed by Summit</t>
  </si>
  <si>
    <t>20200412TC8750</t>
  </si>
  <si>
    <t>20200427TC8750</t>
  </si>
  <si>
    <t>20200427TC718</t>
  </si>
  <si>
    <t>20200427PC718</t>
  </si>
  <si>
    <t>20200427TC833</t>
  </si>
  <si>
    <t>20200427PC833</t>
  </si>
  <si>
    <t>April Kimball</t>
  </si>
  <si>
    <t>20200427TC905</t>
  </si>
  <si>
    <t>20200427PC905</t>
  </si>
  <si>
    <t>20200427TC1601</t>
  </si>
  <si>
    <t>20200427PC1601</t>
  </si>
  <si>
    <t>April Boulder Cty</t>
  </si>
  <si>
    <t>April Burson</t>
  </si>
  <si>
    <t>April Carver</t>
  </si>
  <si>
    <t>April Douglas Cty Cor</t>
  </si>
  <si>
    <t>April Gilpin Cty</t>
  </si>
  <si>
    <t>April Jefferson Cty</t>
  </si>
  <si>
    <t>April Larimer County</t>
  </si>
  <si>
    <t>April Lingamfelter</t>
  </si>
  <si>
    <t>April Summit Cty</t>
  </si>
  <si>
    <t>April Wilkerson</t>
  </si>
  <si>
    <t>20200512TC8001</t>
  </si>
  <si>
    <t>20200512PC8001</t>
  </si>
  <si>
    <t>20200527TC8001</t>
  </si>
  <si>
    <t>20200512TC8002</t>
  </si>
  <si>
    <t>20200512PC8002</t>
  </si>
  <si>
    <t>20200527TC8002</t>
  </si>
  <si>
    <t>20200527TC678370</t>
  </si>
  <si>
    <t>pd 1952.20</t>
  </si>
  <si>
    <t>20200527PC678370</t>
  </si>
  <si>
    <t>20200527TC8003</t>
  </si>
  <si>
    <t>20200527PC8003</t>
  </si>
  <si>
    <t>20200527TC8004</t>
  </si>
  <si>
    <t>20200527PC8004</t>
  </si>
  <si>
    <t>20200527TC8009</t>
  </si>
  <si>
    <t>20200527PC8009</t>
  </si>
  <si>
    <t>20200527TC600</t>
  </si>
  <si>
    <t>20200527PC600</t>
  </si>
  <si>
    <t>May PCMH Cour</t>
  </si>
  <si>
    <t>20200527TC450</t>
  </si>
  <si>
    <t>20200527PC450</t>
  </si>
  <si>
    <t>May Horizon</t>
  </si>
  <si>
    <t>20200512TC678620</t>
  </si>
  <si>
    <t>20200512PC678620</t>
  </si>
  <si>
    <t>20200527TC678620</t>
  </si>
  <si>
    <t>20200512TC678621</t>
  </si>
  <si>
    <t>20200512PC678621</t>
  </si>
  <si>
    <t>20200527TC678621</t>
  </si>
  <si>
    <t>May PVMG</t>
  </si>
  <si>
    <t>20200512TC678624</t>
  </si>
  <si>
    <t>20200512PC678624</t>
  </si>
  <si>
    <t>20200527TC678624</t>
  </si>
  <si>
    <t>20200527TC678619</t>
  </si>
  <si>
    <t>20200527PC678619</t>
  </si>
  <si>
    <t>May MHSC</t>
  </si>
  <si>
    <t>20200527TC678618</t>
  </si>
  <si>
    <t>May MHSN</t>
  </si>
  <si>
    <t>20200527PC678617</t>
  </si>
  <si>
    <t>2020527TC16420</t>
  </si>
  <si>
    <t>2020527PC16420</t>
  </si>
  <si>
    <t>May Childrens</t>
  </si>
  <si>
    <t>20200527TC912345</t>
  </si>
  <si>
    <t>short pay balance included</t>
  </si>
  <si>
    <t>20200527PC912345</t>
  </si>
  <si>
    <t>20200527TC8008</t>
  </si>
  <si>
    <t>20200512TC8750</t>
  </si>
  <si>
    <t>20200527TC8750</t>
  </si>
  <si>
    <t>20200527TC718</t>
  </si>
  <si>
    <t xml:space="preserve">CRMC Part A Summit billed 61.75 hours; marked up to 69.00  by Kerry R. </t>
  </si>
  <si>
    <t>20200527PC718</t>
  </si>
  <si>
    <t>20200527TC833</t>
  </si>
  <si>
    <t>20200527PC833</t>
  </si>
  <si>
    <t>May Kimball</t>
  </si>
  <si>
    <t>20200527TC905</t>
  </si>
  <si>
    <t>20200527PC905</t>
  </si>
  <si>
    <t>20200527TC1601</t>
  </si>
  <si>
    <t>20200527PC1601</t>
  </si>
  <si>
    <t>May Arapahoe Cty</t>
  </si>
  <si>
    <t>May Boulder Cty</t>
  </si>
  <si>
    <t>May Burson</t>
  </si>
  <si>
    <t>May Carver</t>
  </si>
  <si>
    <t>May Clear Creek</t>
  </si>
  <si>
    <t xml:space="preserve">DOUGLAS CTY </t>
  </si>
  <si>
    <t>May Douglas Cty</t>
  </si>
  <si>
    <t>May Gilpin Cty</t>
  </si>
  <si>
    <t>May Jefferson Cty</t>
  </si>
  <si>
    <t>May Larimer County</t>
  </si>
  <si>
    <t>May Summit Cty</t>
  </si>
  <si>
    <t>May Wilkerson</t>
  </si>
  <si>
    <t>20200612TC8001</t>
  </si>
  <si>
    <t>June NCMC sup</t>
  </si>
  <si>
    <t>20200612PC8001</t>
  </si>
  <si>
    <t>20200627TC8001</t>
  </si>
  <si>
    <t>20200612TC8002</t>
  </si>
  <si>
    <t>20200612PC8002</t>
  </si>
  <si>
    <t>20200627TC8002</t>
  </si>
  <si>
    <t>20200627TC678370</t>
  </si>
  <si>
    <t>20200627PC678370</t>
  </si>
  <si>
    <t>20200627TC8003</t>
  </si>
  <si>
    <t>20200627PC8003</t>
  </si>
  <si>
    <t>20200627TC8004</t>
  </si>
  <si>
    <t>20200627PC8004</t>
  </si>
  <si>
    <t>20200627TC8009</t>
  </si>
  <si>
    <t>20200627PC8009</t>
  </si>
  <si>
    <t>20200627TC600</t>
  </si>
  <si>
    <t>20200627PC600</t>
  </si>
  <si>
    <t>June PCMH Cour</t>
  </si>
  <si>
    <t>20200627TC450</t>
  </si>
  <si>
    <t>June TCH sup</t>
  </si>
  <si>
    <t>20200627PC450</t>
  </si>
  <si>
    <t xml:space="preserve">June Horizon </t>
  </si>
  <si>
    <t>20200627TC6222</t>
  </si>
  <si>
    <t>Quarterly Med Dir charge - No travel this month to bill d/t COVID</t>
  </si>
  <si>
    <t>June Melissa Mem sup</t>
  </si>
  <si>
    <t>20200627PC6222</t>
  </si>
  <si>
    <t>20200612TC678620</t>
  </si>
  <si>
    <t>20200612PC678620</t>
  </si>
  <si>
    <t>20200627TC678620</t>
  </si>
  <si>
    <t>20200612TC678621</t>
  </si>
  <si>
    <t>20200612PC678621</t>
  </si>
  <si>
    <t>20200627TC678621</t>
  </si>
  <si>
    <t xml:space="preserve">June PVMG </t>
  </si>
  <si>
    <t>20200612TC678624</t>
  </si>
  <si>
    <t>20200612PC678624</t>
  </si>
  <si>
    <t>20200627TC678624</t>
  </si>
  <si>
    <t>20200627TC678619</t>
  </si>
  <si>
    <t>20200627PC678619</t>
  </si>
  <si>
    <t>June MHSC</t>
  </si>
  <si>
    <t>20200627TC678618</t>
  </si>
  <si>
    <t>June MHSN</t>
  </si>
  <si>
    <t>20200627PC678617</t>
  </si>
  <si>
    <t>2020627PC16420</t>
  </si>
  <si>
    <t>June Childrens</t>
  </si>
  <si>
    <t>June BMC</t>
  </si>
  <si>
    <t>June FMC</t>
  </si>
  <si>
    <t>June MMC</t>
  </si>
  <si>
    <t>June NPMC</t>
  </si>
  <si>
    <t>20200627TC912345</t>
  </si>
  <si>
    <t>June CPMC sup</t>
  </si>
  <si>
    <t>20200627PC912345</t>
  </si>
  <si>
    <t>20200627TC8008</t>
  </si>
  <si>
    <t>20200627PC8008</t>
  </si>
  <si>
    <t>June CFG</t>
  </si>
  <si>
    <t>Quarterly: 10.25  hours @ $200/hr + 2098  reports @ $2.00/report</t>
  </si>
  <si>
    <t>June LTACH</t>
  </si>
  <si>
    <t>Quarterly charge total of 0.50  hours @ $150/hr</t>
  </si>
  <si>
    <t>20200612TC8750</t>
  </si>
  <si>
    <t>20200627TC8750</t>
  </si>
  <si>
    <t>20200627TC718</t>
  </si>
  <si>
    <t xml:space="preserve">CRMC Part A Summit billed 60.25 hours; marked up to 65.25  by Kerry R. </t>
  </si>
  <si>
    <t>20200627PC718</t>
  </si>
  <si>
    <t>20200627TC833</t>
  </si>
  <si>
    <t>20200627PC833</t>
  </si>
  <si>
    <t>June Kimball TC</t>
  </si>
  <si>
    <t>PRO SVCS QUARTERLY FEE</t>
  </si>
  <si>
    <t>June Kimball PC</t>
  </si>
  <si>
    <t>20200627TC905</t>
  </si>
  <si>
    <t>20200627PC905</t>
  </si>
  <si>
    <t>20200627TC1601</t>
  </si>
  <si>
    <t>June Ivinson sup</t>
  </si>
  <si>
    <t>20200627PC1601</t>
  </si>
  <si>
    <t>June Arapahoe cty</t>
  </si>
  <si>
    <t>June Boulder Cty</t>
  </si>
  <si>
    <t>June Burson</t>
  </si>
  <si>
    <t>June Carver</t>
  </si>
  <si>
    <t>June Douglas Cty Cor</t>
  </si>
  <si>
    <t>June Jefferson Cty</t>
  </si>
  <si>
    <t>June Larimer County</t>
  </si>
  <si>
    <t>June Summit Cty</t>
  </si>
  <si>
    <t>June Wilkerson</t>
  </si>
  <si>
    <t>20200712TC8001</t>
  </si>
  <si>
    <t>20200712PC8001</t>
  </si>
  <si>
    <t>20200727TC8001</t>
  </si>
  <si>
    <t>20200712TC8002</t>
  </si>
  <si>
    <t>20200712PC8002</t>
  </si>
  <si>
    <t>20200727TC8002</t>
  </si>
  <si>
    <t>20200727TC678370</t>
  </si>
  <si>
    <t>20200727PC678370</t>
  </si>
  <si>
    <t>20200727TC8003</t>
  </si>
  <si>
    <t>20200727PC8003</t>
  </si>
  <si>
    <t>20200727TC8004</t>
  </si>
  <si>
    <t>20200727PC8004</t>
  </si>
  <si>
    <t>20200727TC8009</t>
  </si>
  <si>
    <t>20200727PC8009</t>
  </si>
  <si>
    <t>20200727TC600</t>
  </si>
  <si>
    <t>20200727PC600</t>
  </si>
  <si>
    <t>July PCMH Cour</t>
  </si>
  <si>
    <t>20200727TC450</t>
  </si>
  <si>
    <t>20200727PC450</t>
  </si>
  <si>
    <t>July Horizon</t>
  </si>
  <si>
    <t>20200727TC6222</t>
  </si>
  <si>
    <t>20200712TC678620</t>
  </si>
  <si>
    <t>20200712PC678620</t>
  </si>
  <si>
    <t>20200727TC678620</t>
  </si>
  <si>
    <t>20200712TC678621</t>
  </si>
  <si>
    <t>20200712PC678621</t>
  </si>
  <si>
    <t>20200727TC678621</t>
  </si>
  <si>
    <t>July PVMG</t>
  </si>
  <si>
    <t>20200712TC678624</t>
  </si>
  <si>
    <t>20200712PC678624</t>
  </si>
  <si>
    <t>20200727TC678624</t>
  </si>
  <si>
    <t>20200727TC678619</t>
  </si>
  <si>
    <t>20200727PC678619</t>
  </si>
  <si>
    <t>July MHSC</t>
  </si>
  <si>
    <t>20200727TC678618</t>
  </si>
  <si>
    <t>July MHSN</t>
  </si>
  <si>
    <t>20200727PC678617</t>
  </si>
  <si>
    <t>2020727PC16420</t>
  </si>
  <si>
    <t>Credit of $218.75 d/t overpayment of 12/2019 and 04/2020 invoices as noted by CB. In July Dr. Barner had 3.00 hrs to bill @ $125/hr=$375. Offset amt due with credit so we are owed $156.25 ($375-$218.75). Invoice indicates in bold, red, and highlighted yellow amt due from GV. 8/5/2020</t>
  </si>
  <si>
    <t>July Childrens</t>
  </si>
  <si>
    <t>20200727TC912345</t>
  </si>
  <si>
    <t>20200727PC912345</t>
  </si>
  <si>
    <t>20200727TC8008</t>
  </si>
  <si>
    <t>20200712TC8750</t>
  </si>
  <si>
    <t>20200727TC8750</t>
  </si>
  <si>
    <t>20200727TC718</t>
  </si>
  <si>
    <t xml:space="preserve">CRMC Part A Summit billed 54.75 hours; marked up to 62.00  by Kerry R. </t>
  </si>
  <si>
    <t>20200727PC718</t>
  </si>
  <si>
    <t>20200727TC833</t>
  </si>
  <si>
    <t>20200727PC833</t>
  </si>
  <si>
    <t>July Kimball</t>
  </si>
  <si>
    <t>20200727TC905</t>
  </si>
  <si>
    <t>20200727PC905</t>
  </si>
  <si>
    <t>20200727TC1601</t>
  </si>
  <si>
    <t>20200727PC1601</t>
  </si>
  <si>
    <t>July Arapahoe Cty</t>
  </si>
  <si>
    <t>July Boulder Cty</t>
  </si>
  <si>
    <t>July Burson</t>
  </si>
  <si>
    <t>July Carver</t>
  </si>
  <si>
    <t>July Clear Creek</t>
  </si>
  <si>
    <t>DOUGLAS CTY</t>
  </si>
  <si>
    <t>July Douglas Cty</t>
  </si>
  <si>
    <t>July Gilpin Cty</t>
  </si>
  <si>
    <t>July Jefferson Cty</t>
  </si>
  <si>
    <t>July Larimer County</t>
  </si>
  <si>
    <t>July Summit Cty</t>
  </si>
  <si>
    <t>July Wilkerson</t>
  </si>
  <si>
    <t>20200812TC8001</t>
  </si>
  <si>
    <t>20200812PC8001</t>
  </si>
  <si>
    <t>20200827TC8001</t>
  </si>
  <si>
    <t>20200812TC8002</t>
  </si>
  <si>
    <t>20200812PC8002</t>
  </si>
  <si>
    <t>20200827TC8002</t>
  </si>
  <si>
    <t>20200827TC678370</t>
  </si>
  <si>
    <t>20200827PC678370</t>
  </si>
  <si>
    <t>20200827TC8003</t>
  </si>
  <si>
    <t>20200827PC8003</t>
  </si>
  <si>
    <t>20200827TC8004</t>
  </si>
  <si>
    <t>20200827PC8004</t>
  </si>
  <si>
    <t>20200827TC8009</t>
  </si>
  <si>
    <t>20200827PC8009</t>
  </si>
  <si>
    <t>20200827TC600</t>
  </si>
  <si>
    <t>20200827PC600</t>
  </si>
  <si>
    <t>August PCMH Cour</t>
  </si>
  <si>
    <t>20200827TC450</t>
  </si>
  <si>
    <t>August Horizon</t>
  </si>
  <si>
    <t>20200827TC6222</t>
  </si>
  <si>
    <t>20200812TC678620</t>
  </si>
  <si>
    <t>20200812PC678620</t>
  </si>
  <si>
    <t>20200827TC678620</t>
  </si>
  <si>
    <t>20200812TC678621</t>
  </si>
  <si>
    <t>20200812PC678621</t>
  </si>
  <si>
    <t>20200827TC678621</t>
  </si>
  <si>
    <t>August PVMG</t>
  </si>
  <si>
    <t>20200812TC678624</t>
  </si>
  <si>
    <t>20200812PC678624</t>
  </si>
  <si>
    <t>20200827TC678624</t>
  </si>
  <si>
    <t>20200827TC678619</t>
  </si>
  <si>
    <t>20200827PC678619</t>
  </si>
  <si>
    <t>August MHSC</t>
  </si>
  <si>
    <t>20200827TC678618</t>
  </si>
  <si>
    <t>August MHSN</t>
  </si>
  <si>
    <t>20200827PC678617</t>
  </si>
  <si>
    <t>2020827PC16420</t>
  </si>
  <si>
    <t>20200827TC912345</t>
  </si>
  <si>
    <t>20200827PC912345</t>
  </si>
  <si>
    <t>20200827TC8008</t>
  </si>
  <si>
    <t>20200812TC8750</t>
  </si>
  <si>
    <t>20200827TC8750</t>
  </si>
  <si>
    <t>20200827TC718</t>
  </si>
  <si>
    <t>20200827PC718</t>
  </si>
  <si>
    <t>20200827TC833</t>
  </si>
  <si>
    <t>FLAT FEE</t>
  </si>
  <si>
    <t>20200827PC833</t>
  </si>
  <si>
    <t>August Kimball</t>
  </si>
  <si>
    <t>20200827TC905</t>
  </si>
  <si>
    <t>20200827PC905</t>
  </si>
  <si>
    <t>20200827TC1601</t>
  </si>
  <si>
    <t>20200827PC1601</t>
  </si>
  <si>
    <t>August Boulder Cty</t>
  </si>
  <si>
    <t>August Burson</t>
  </si>
  <si>
    <t>August Carver</t>
  </si>
  <si>
    <t>August Clear Creek</t>
  </si>
  <si>
    <t>August Douglas Cty Cour</t>
  </si>
  <si>
    <t>EL PASO CTY</t>
  </si>
  <si>
    <t>August El Paso Cty</t>
  </si>
  <si>
    <t>August Jefferson Cty</t>
  </si>
  <si>
    <t>August Larimer County</t>
  </si>
  <si>
    <t>August Wilkerson</t>
  </si>
  <si>
    <t>20200912TC8001</t>
  </si>
  <si>
    <t>Sept NCMC sup</t>
  </si>
  <si>
    <t>20200912PC8001</t>
  </si>
  <si>
    <t>20200927TC8001</t>
  </si>
  <si>
    <t>20200912TC8002</t>
  </si>
  <si>
    <t>20200912PC8002</t>
  </si>
  <si>
    <t>20200927TC8002</t>
  </si>
  <si>
    <t>20200927TC678370</t>
  </si>
  <si>
    <t>20200927PC678370</t>
  </si>
  <si>
    <t>20200927TC8003</t>
  </si>
  <si>
    <t>20200927PC8003</t>
  </si>
  <si>
    <t>20200927TC8004</t>
  </si>
  <si>
    <t>20200927PC8004</t>
  </si>
  <si>
    <t>20200927TC8009</t>
  </si>
  <si>
    <t>20200927PC8009</t>
  </si>
  <si>
    <t>20200927TC600</t>
  </si>
  <si>
    <t>20200927PC600</t>
  </si>
  <si>
    <t>Sept PCMH Cour</t>
  </si>
  <si>
    <t>20200927TC450</t>
  </si>
  <si>
    <t>20200927PC450</t>
  </si>
  <si>
    <t>Sept TCH sup</t>
  </si>
  <si>
    <t>Sept Horizon</t>
  </si>
  <si>
    <t>20200927TC6222</t>
  </si>
  <si>
    <t>20200927PC6222</t>
  </si>
  <si>
    <t>Quarterly Med Dir charge - No travel to bill d/t COVID</t>
  </si>
  <si>
    <t>20200912TC678620</t>
  </si>
  <si>
    <t>20200912PC678620</t>
  </si>
  <si>
    <t>20200927TC678620</t>
  </si>
  <si>
    <t>20200912TC678621</t>
  </si>
  <si>
    <t>20200912PC678621</t>
  </si>
  <si>
    <t>20200927TC678621</t>
  </si>
  <si>
    <t>Sept PVMG</t>
  </si>
  <si>
    <t>20200912TC678624</t>
  </si>
  <si>
    <t>20200912PC678624</t>
  </si>
  <si>
    <t>20200927TC678624</t>
  </si>
  <si>
    <t>20200927TC678619</t>
  </si>
  <si>
    <t>20200927PC678619</t>
  </si>
  <si>
    <t>Sept MHSC</t>
  </si>
  <si>
    <t>20200927TC678618</t>
  </si>
  <si>
    <t>Sept MHSN</t>
  </si>
  <si>
    <t>20200927PC678617</t>
  </si>
  <si>
    <t>2020927PC16420</t>
  </si>
  <si>
    <t>Sept BMC</t>
  </si>
  <si>
    <t>Sept FMC</t>
  </si>
  <si>
    <t>Sept MMC</t>
  </si>
  <si>
    <t>Sept NPMC</t>
  </si>
  <si>
    <t>20200927TC912345</t>
  </si>
  <si>
    <t>20200927PC912345</t>
  </si>
  <si>
    <t>Sept CPMC sup</t>
  </si>
  <si>
    <t>20200927TC8008</t>
  </si>
  <si>
    <t>20200927PC8008</t>
  </si>
  <si>
    <t>Sept CFG</t>
  </si>
  <si>
    <t>Quarterly: 12.25  hours @ $200/hr + 3242  reports @ $2.00/report</t>
  </si>
  <si>
    <t>Sept LTACH</t>
  </si>
  <si>
    <t>Quarterly billed: hours each month x $150</t>
  </si>
  <si>
    <t>20200912TC8750</t>
  </si>
  <si>
    <t>20200927TC8750</t>
  </si>
  <si>
    <t>20200927TC718</t>
  </si>
  <si>
    <t>20200927PC718</t>
  </si>
  <si>
    <t>20200927TC833</t>
  </si>
  <si>
    <t>Sept Douglas sup</t>
  </si>
  <si>
    <t>20200927PC833</t>
  </si>
  <si>
    <t>Sept Kimball TC</t>
  </si>
  <si>
    <t>Sept Kimball sup</t>
  </si>
  <si>
    <t>Sept Kimball PC</t>
  </si>
  <si>
    <t>20200927TC905</t>
  </si>
  <si>
    <t>20200927PC905</t>
  </si>
  <si>
    <t>20200927TC1601</t>
  </si>
  <si>
    <t>Sept Ivinson sup</t>
  </si>
  <si>
    <t>20200927PC1601</t>
  </si>
  <si>
    <t>Breast Diagnostic Center</t>
  </si>
  <si>
    <t>Sept BDC</t>
  </si>
  <si>
    <t>Sept Adams Cty</t>
  </si>
  <si>
    <t>Sept Arapahoe Cty</t>
  </si>
  <si>
    <t>Sept Boulder Cty</t>
  </si>
  <si>
    <t xml:space="preserve">Sept Burson </t>
  </si>
  <si>
    <t>Sept Carver</t>
  </si>
  <si>
    <t>Sept Douglas Cty Cor</t>
  </si>
  <si>
    <t>Sept Gilpin Cty</t>
  </si>
  <si>
    <t>Sept Jefferson Cty</t>
  </si>
  <si>
    <t>Sept Larimer County</t>
  </si>
  <si>
    <t>Sept Summit Cty</t>
  </si>
  <si>
    <t>Sept Wilkerson</t>
  </si>
  <si>
    <t>20201012TC8001</t>
  </si>
  <si>
    <t>20201012PC8001</t>
  </si>
  <si>
    <t>20201027TC8001</t>
  </si>
  <si>
    <t>20201012TC8002</t>
  </si>
  <si>
    <t>20201012PC8002</t>
  </si>
  <si>
    <t>20201027TC8002</t>
  </si>
  <si>
    <t>20201027TC678370</t>
  </si>
  <si>
    <t>20201027PC678370</t>
  </si>
  <si>
    <t>20201027TC8003</t>
  </si>
  <si>
    <t>20201027PC8003</t>
  </si>
  <si>
    <t>20201027TC8004</t>
  </si>
  <si>
    <t>20201027PC8004</t>
  </si>
  <si>
    <t>20201027TC8009</t>
  </si>
  <si>
    <t>20201027PC8009</t>
  </si>
  <si>
    <t>20201027TC600</t>
  </si>
  <si>
    <t>20201027PC600</t>
  </si>
  <si>
    <t>Oct PCMH Cour</t>
  </si>
  <si>
    <t>20201027TC450</t>
  </si>
  <si>
    <t>20201027PC450</t>
  </si>
  <si>
    <t>Oct Horizon</t>
  </si>
  <si>
    <t>20201027TC6222</t>
  </si>
  <si>
    <t>20201012TC678620</t>
  </si>
  <si>
    <t>20201012PC678620</t>
  </si>
  <si>
    <t>20201027TC678620</t>
  </si>
  <si>
    <t>20201012TC678621</t>
  </si>
  <si>
    <t>20201012PC678621</t>
  </si>
  <si>
    <t>20201027TC678621</t>
  </si>
  <si>
    <t>Oct PVMG</t>
  </si>
  <si>
    <t>20201012TC678624</t>
  </si>
  <si>
    <t>20201012PC678624</t>
  </si>
  <si>
    <t>20201027TC678624</t>
  </si>
  <si>
    <t>20201027TC678619</t>
  </si>
  <si>
    <t>20201027PC678619</t>
  </si>
  <si>
    <t>Oct MHSC</t>
  </si>
  <si>
    <t>20201027TC678618</t>
  </si>
  <si>
    <t>Oct MHSN</t>
  </si>
  <si>
    <t>20201027PC678618</t>
  </si>
  <si>
    <t>2021027PC16420</t>
  </si>
  <si>
    <t>20201027TC912345</t>
  </si>
  <si>
    <t>20201027PC912345</t>
  </si>
  <si>
    <t>Oct CPMC sup</t>
  </si>
  <si>
    <t>$12.15/SPL $82.50/SP</t>
  </si>
  <si>
    <t>20201027TC8008</t>
  </si>
  <si>
    <t>20201012TC8750</t>
  </si>
  <si>
    <t>20201027TC8750</t>
  </si>
  <si>
    <t>20201027TC718</t>
  </si>
  <si>
    <t xml:space="preserve">CRMC Part A Summit billed 68.50 hours; marked up to 75.00  by Kerry R. </t>
  </si>
  <si>
    <t>20201027PC718</t>
  </si>
  <si>
    <t>20201027TC833</t>
  </si>
  <si>
    <t>20201027PC833</t>
  </si>
  <si>
    <t>Oct Kimball TC</t>
  </si>
  <si>
    <t>20201027TC905</t>
  </si>
  <si>
    <t>20201027PC905</t>
  </si>
  <si>
    <t>20201027TC1601</t>
  </si>
  <si>
    <t>20201027PC1601</t>
  </si>
  <si>
    <t>Oct Adams Cty</t>
  </si>
  <si>
    <t>Oct Arapahoe Cty</t>
  </si>
  <si>
    <t>Oct ACC</t>
  </si>
  <si>
    <t>Oct Boulder Cty</t>
  </si>
  <si>
    <t>Oct Burson</t>
  </si>
  <si>
    <t>Oct Carver</t>
  </si>
  <si>
    <t>Oct Douglas Cty</t>
  </si>
  <si>
    <t>Oct Jefferson Cty</t>
  </si>
  <si>
    <t>Oct Larimer County</t>
  </si>
  <si>
    <t>Oct Summit Cty</t>
  </si>
  <si>
    <t>Oct Wilkerson</t>
  </si>
  <si>
    <t>20201112TC8001</t>
  </si>
  <si>
    <t>20201112PC8001</t>
  </si>
  <si>
    <t>20201127TC8001</t>
  </si>
  <si>
    <t>20201112TC8002</t>
  </si>
  <si>
    <t>20201112PC8002</t>
  </si>
  <si>
    <t xml:space="preserve">Professional </t>
  </si>
  <si>
    <t>20201277TC8002</t>
  </si>
  <si>
    <t>20201127TC678370</t>
  </si>
  <si>
    <t>20201127PC678370</t>
  </si>
  <si>
    <t>20201127TC8003</t>
  </si>
  <si>
    <t>20201127PC8003</t>
  </si>
  <si>
    <t>20201127TC8004</t>
  </si>
  <si>
    <t>20201127PC8004</t>
  </si>
  <si>
    <t>20201127TC8009</t>
  </si>
  <si>
    <t>20201127PC8009</t>
  </si>
  <si>
    <t>20201127TC600</t>
  </si>
  <si>
    <t>20201127PC600</t>
  </si>
  <si>
    <t>Nov PCMH Cour</t>
  </si>
  <si>
    <t>20201127TC450</t>
  </si>
  <si>
    <t>20201127PC450</t>
  </si>
  <si>
    <t>Nov Horizon</t>
  </si>
  <si>
    <t>20201127TC6222</t>
  </si>
  <si>
    <t>20201112TC678620</t>
  </si>
  <si>
    <t>20201112PC678620</t>
  </si>
  <si>
    <t>20201127TC678620</t>
  </si>
  <si>
    <t>20201112TC678621</t>
  </si>
  <si>
    <t>20201112PC678621</t>
  </si>
  <si>
    <t>20201127TC678621</t>
  </si>
  <si>
    <t>Noc PVMG</t>
  </si>
  <si>
    <t xml:space="preserve">GREELEY </t>
  </si>
  <si>
    <t>20201112TC678624</t>
  </si>
  <si>
    <t>20201112PC678624</t>
  </si>
  <si>
    <t>20201127TC678624</t>
  </si>
  <si>
    <t>20201127TC678619</t>
  </si>
  <si>
    <t>20201127PC678619</t>
  </si>
  <si>
    <t>20201127TC678618</t>
  </si>
  <si>
    <t>20200927TC678617</t>
  </si>
  <si>
    <t>20201127PC678617</t>
  </si>
  <si>
    <t>2021127TC16420</t>
  </si>
  <si>
    <t>2021127PC16420</t>
  </si>
  <si>
    <t>20201127TC912345</t>
  </si>
  <si>
    <t>Nov CPMC sup</t>
  </si>
  <si>
    <t>$44/SPL $45.96/SP- Supplies</t>
  </si>
  <si>
    <t>20201127PC912345</t>
  </si>
  <si>
    <t>20201127TC8008</t>
  </si>
  <si>
    <t>20201112TC8750</t>
  </si>
  <si>
    <t>20201127TC8750</t>
  </si>
  <si>
    <t>20201127TC718</t>
  </si>
  <si>
    <t>20201127PC718</t>
  </si>
  <si>
    <t>20201127TC833</t>
  </si>
  <si>
    <t>20201127PC833</t>
  </si>
  <si>
    <t>Nov Kimball TC</t>
  </si>
  <si>
    <t>20201127TC905</t>
  </si>
  <si>
    <t>20201127PC905</t>
  </si>
  <si>
    <t>20201127TC1601</t>
  </si>
  <si>
    <t>20201127PC1601</t>
  </si>
  <si>
    <t>Nov Adams Cty</t>
  </si>
  <si>
    <t>Nov Arapahoe Cty</t>
  </si>
  <si>
    <t>Nov ACC</t>
  </si>
  <si>
    <t>Nov Boulder Cty</t>
  </si>
  <si>
    <t>Nov Burson</t>
  </si>
  <si>
    <t>Nov Carver</t>
  </si>
  <si>
    <t>Nov Douglas Cty Cor</t>
  </si>
  <si>
    <t>Nov Jefferson Cty</t>
  </si>
  <si>
    <t>Nov Larimer County</t>
  </si>
  <si>
    <t>Nov Summit Cty</t>
  </si>
  <si>
    <t>Nov Wilkerson</t>
  </si>
  <si>
    <t>20201212TC8001</t>
  </si>
  <si>
    <t>20201212PC8001</t>
  </si>
  <si>
    <t>20201212TC8002</t>
  </si>
  <si>
    <t>20201212PC8002</t>
  </si>
  <si>
    <t>20201212TC678620</t>
  </si>
  <si>
    <t>20201212PC678620</t>
  </si>
  <si>
    <t>20201212TC678621</t>
  </si>
  <si>
    <t>20201212PC678621</t>
  </si>
  <si>
    <t>20201212TC678624</t>
  </si>
  <si>
    <t>20201212PC678624</t>
  </si>
  <si>
    <t>20201212TC8750</t>
  </si>
  <si>
    <t>20201212PC8750</t>
  </si>
  <si>
    <t>Payment_type</t>
  </si>
  <si>
    <t>Check_num</t>
  </si>
  <si>
    <t>ACH</t>
  </si>
  <si>
    <t>CHECK</t>
  </si>
  <si>
    <t>January BMC Fred</t>
  </si>
  <si>
    <t>EFT</t>
  </si>
  <si>
    <t>February PC</t>
  </si>
  <si>
    <t>June PC</t>
  </si>
  <si>
    <t>September TC</t>
  </si>
  <si>
    <t>September PC</t>
  </si>
  <si>
    <t>October</t>
  </si>
  <si>
    <t>date</t>
  </si>
  <si>
    <t>charge_amount</t>
  </si>
  <si>
    <t>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</si>
</sst>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rgb="FF9C0006"/>
      <name val="Calibri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sz val="9"/>
      <color theme="1"/>
      <name val="Inherit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9" fillId="0" borderId="0" applyFont="0" applyFill="0" applyBorder="0" applyAlignment="0" applyProtection="0"/>
  </cellStyleXfs>
  <cellXfs count="69">
    <xf numFmtId="0" fontId="0" fillId="0" borderId="0" xfId="0"/>
    <xf numFmtId="165" fontId="0" fillId="0" borderId="2" xfId="0" applyNumberFormat="1" applyBorder="1"/>
    <xf numFmtId="165" fontId="0" fillId="0" borderId="0" xfId="0" applyNumberFormat="1"/>
    <xf numFmtId="165" fontId="4" fillId="0" borderId="0" xfId="0" applyNumberFormat="1" applyFont="1"/>
    <xf numFmtId="164" fontId="4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5" fontId="2" fillId="0" borderId="1" xfId="0" applyNumberFormat="1" applyFont="1" applyBorder="1"/>
    <xf numFmtId="165" fontId="4" fillId="4" borderId="0" xfId="0" applyNumberFormat="1" applyFont="1" applyFill="1" applyAlignment="1">
      <alignment horizontal="center"/>
    </xf>
    <xf numFmtId="165" fontId="4" fillId="3" borderId="0" xfId="0" applyNumberFormat="1" applyFont="1" applyFill="1"/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/>
    <xf numFmtId="0" fontId="2" fillId="0" borderId="0" xfId="0" applyFont="1"/>
    <xf numFmtId="164" fontId="3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164" fontId="6" fillId="0" borderId="0" xfId="0" applyNumberFormat="1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8" fillId="0" borderId="0" xfId="0" applyFont="1" applyAlignment="1">
      <alignment wrapText="1"/>
    </xf>
    <xf numFmtId="14" fontId="2" fillId="0" borderId="0" xfId="0" applyNumberFormat="1" applyFont="1"/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5" fontId="8" fillId="0" borderId="0" xfId="0" quotePrefix="1" applyNumberFormat="1" applyFont="1" applyAlignment="1">
      <alignment wrapText="1"/>
    </xf>
    <xf numFmtId="2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0" xfId="1" applyNumberFormat="1" applyFont="1"/>
    <xf numFmtId="1" fontId="4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44" fontId="4" fillId="0" borderId="2" xfId="2" applyFont="1" applyBorder="1" applyAlignment="1">
      <alignment horizontal="center"/>
    </xf>
    <xf numFmtId="44" fontId="4" fillId="0" borderId="0" xfId="2" applyFont="1" applyAlignment="1">
      <alignment horizontal="center"/>
    </xf>
    <xf numFmtId="44" fontId="5" fillId="2" borderId="0" xfId="2" applyFont="1" applyFill="1" applyBorder="1" applyAlignment="1">
      <alignment horizontal="center"/>
    </xf>
    <xf numFmtId="44" fontId="4" fillId="3" borderId="0" xfId="2" applyFont="1" applyFill="1" applyAlignment="1">
      <alignment horizontal="center"/>
    </xf>
    <xf numFmtId="44" fontId="4" fillId="4" borderId="0" xfId="2" applyFont="1" applyFill="1" applyAlignment="1">
      <alignment horizontal="center"/>
    </xf>
    <xf numFmtId="44" fontId="4" fillId="0" borderId="0" xfId="2" applyFont="1" applyBorder="1" applyAlignment="1">
      <alignment horizontal="center"/>
    </xf>
  </cellXfs>
  <cellStyles count="3">
    <cellStyle name="Bad" xfId="1" builtinId="27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D0C6-DA6F-458E-AB36-3573D1662BD8}">
  <dimension ref="A1:G59"/>
  <sheetViews>
    <sheetView workbookViewId="0">
      <selection activeCell="A2" sqref="A2"/>
    </sheetView>
  </sheetViews>
  <sheetFormatPr defaultRowHeight="14.5"/>
  <cols>
    <col min="1" max="1" width="12.26953125" style="30" bestFit="1" customWidth="1"/>
    <col min="2" max="2" width="43.1796875" style="30" bestFit="1" customWidth="1"/>
    <col min="3" max="3" width="15.81640625" style="2" customWidth="1"/>
    <col min="4" max="4" width="14.81640625" style="2" bestFit="1" customWidth="1"/>
    <col min="5" max="5" width="15.81640625" style="2" customWidth="1"/>
  </cols>
  <sheetData>
    <row r="1" spans="1:5">
      <c r="A1" s="37" t="s">
        <v>0</v>
      </c>
      <c r="B1" s="37" t="s">
        <v>1</v>
      </c>
      <c r="C1" s="1" t="s">
        <v>2</v>
      </c>
      <c r="D1" s="1" t="s">
        <v>3</v>
      </c>
      <c r="E1" s="1" t="s">
        <v>4</v>
      </c>
    </row>
    <row r="2" spans="1:5">
      <c r="A2" s="30" t="s">
        <v>5</v>
      </c>
      <c r="B2" s="30" t="s">
        <v>6</v>
      </c>
      <c r="C2" s="2">
        <f>SUMIF(Charges!B:B,"NCMC",Charges!E:E)</f>
        <v>916189.3600000001</v>
      </c>
      <c r="D2" s="2">
        <f>SUMIF(Payments!B:B,"NCMC",Payments!C:C)</f>
        <v>-862320.72000000009</v>
      </c>
      <c r="E2" s="2">
        <f>C2+D2</f>
        <v>53868.640000000014</v>
      </c>
    </row>
    <row r="3" spans="1:5">
      <c r="A3" s="30" t="s">
        <v>5</v>
      </c>
      <c r="B3" s="30" t="s">
        <v>7</v>
      </c>
      <c r="C3" s="2">
        <f>SUMIF(Charges!B:B,"MCKEE",Charges!E:E)</f>
        <v>548168.67999999993</v>
      </c>
      <c r="D3" s="2">
        <f>SUMIF(Payments!B:B,"MCKEE",Payments!C:C)</f>
        <v>-510835.83999999991</v>
      </c>
      <c r="E3" s="2">
        <f t="shared" ref="E3:E59" si="0">C3+D3</f>
        <v>37332.840000000026</v>
      </c>
    </row>
    <row r="4" spans="1:5">
      <c r="A4" s="30" t="s">
        <v>5</v>
      </c>
      <c r="B4" s="34" t="s">
        <v>8</v>
      </c>
      <c r="C4" s="2">
        <f>SUMIF(Charges!B:B,"SRMC",Charges!E:E)</f>
        <v>142884.15000000002</v>
      </c>
      <c r="D4" s="2">
        <f>SUMIF(Payments!B:B,"SRMC",Payments!C:C)</f>
        <v>-131875.71000000002</v>
      </c>
      <c r="E4" s="2">
        <f t="shared" si="0"/>
        <v>11008.440000000002</v>
      </c>
    </row>
    <row r="5" spans="1:5">
      <c r="A5" s="30" t="s">
        <v>5</v>
      </c>
      <c r="B5" s="34" t="s">
        <v>9</v>
      </c>
      <c r="C5" s="2">
        <f>SUMIF(Charges!B:B,"EMC",Charges!E:E)</f>
        <v>35341.359999999993</v>
      </c>
      <c r="D5" s="2">
        <f>SUMIF(Payments!B:B,"EMC",Payments!C:C)</f>
        <v>-27848.199999999997</v>
      </c>
      <c r="E5" s="2">
        <f t="shared" si="0"/>
        <v>7493.1599999999962</v>
      </c>
    </row>
    <row r="6" spans="1:5">
      <c r="A6" s="30" t="s">
        <v>5</v>
      </c>
      <c r="B6" s="34" t="s">
        <v>10</v>
      </c>
      <c r="C6" s="2">
        <f>SUMIF(Charges!B:B,"OCH",Charges!E:E)</f>
        <v>17861.62</v>
      </c>
      <c r="D6" s="2">
        <f>SUMIF(Payments!B:B,"OCH",Payments!C:C)</f>
        <v>-17861.62</v>
      </c>
      <c r="E6" s="2">
        <f t="shared" si="0"/>
        <v>0</v>
      </c>
    </row>
    <row r="7" spans="1:5">
      <c r="A7" s="30" t="s">
        <v>5</v>
      </c>
      <c r="B7" s="34" t="s">
        <v>11</v>
      </c>
      <c r="C7" s="38">
        <f>SUMIF(Charges!B:B,"BFCMC",Charges!E:E)</f>
        <v>82427.37000000001</v>
      </c>
      <c r="D7" s="2">
        <f>SUMIF(Payments!B:B,"BFCMC",Payments!C:C)</f>
        <v>-80034.87</v>
      </c>
      <c r="E7" s="2">
        <f t="shared" si="0"/>
        <v>2392.5000000000146</v>
      </c>
    </row>
    <row r="8" spans="1:5">
      <c r="A8" s="30" t="s">
        <v>5</v>
      </c>
      <c r="B8" s="34" t="s">
        <v>12</v>
      </c>
      <c r="C8" s="2">
        <f>SUMIF(Charges!B:B,"PCMH",Charges!E:E)</f>
        <v>17301.939999999999</v>
      </c>
      <c r="D8" s="2">
        <f>SUMIF(Payments!B:B,"PCMH",Payments!C:C)</f>
        <v>-16493.469999999998</v>
      </c>
      <c r="E8" s="2">
        <f t="shared" si="0"/>
        <v>808.47000000000116</v>
      </c>
    </row>
    <row r="9" spans="1:5">
      <c r="A9" s="30" t="s">
        <v>5</v>
      </c>
      <c r="B9" s="34" t="s">
        <v>13</v>
      </c>
      <c r="C9" s="2">
        <f>SUMIF(Charges!B:B,"PCMH COURIER",Charges!E:E)</f>
        <v>1100</v>
      </c>
      <c r="D9" s="2">
        <f>SUMIF(Payments!B:B,"PCMH COURIER",Payments!C:C)</f>
        <v>-1000</v>
      </c>
      <c r="E9" s="2">
        <f t="shared" si="0"/>
        <v>100</v>
      </c>
    </row>
    <row r="10" spans="1:5">
      <c r="A10" s="30" t="s">
        <v>5</v>
      </c>
      <c r="B10" s="34" t="s">
        <v>14</v>
      </c>
      <c r="C10" s="2">
        <f>SUMIF(Charges!B:B,"TCH",Charges!E:E)</f>
        <v>16411.690000000002</v>
      </c>
      <c r="D10" s="2">
        <f>SUMIF(Payments!B:B,"TCH",Payments!C:C)</f>
        <v>-14795.630000000003</v>
      </c>
      <c r="E10" s="2">
        <f t="shared" si="0"/>
        <v>1616.0599999999995</v>
      </c>
    </row>
    <row r="11" spans="1:5">
      <c r="A11" s="30" t="s">
        <v>5</v>
      </c>
      <c r="B11" s="34" t="s">
        <v>15</v>
      </c>
      <c r="C11" s="2">
        <f>SUMIF(Charges!B:B,"HORIZON",Charges!E:E)</f>
        <v>3767.5</v>
      </c>
      <c r="D11" s="2">
        <f>SUMIF(Payments!B:B,"HORIZON",Payments!C:C)</f>
        <v>-3382.5</v>
      </c>
      <c r="E11" s="2">
        <f t="shared" si="0"/>
        <v>385</v>
      </c>
    </row>
    <row r="12" spans="1:5">
      <c r="A12" s="30" t="s">
        <v>5</v>
      </c>
      <c r="B12" s="34" t="s">
        <v>16</v>
      </c>
      <c r="C12" s="2">
        <f>SUMIF(Charges!B:B,"MELISSA MEM",Charges!E:E)</f>
        <v>11182.46</v>
      </c>
      <c r="D12" s="2">
        <f>SUMIF(Payments!B:B,"MELISSA MEM",Payments!C:C)</f>
        <v>-10504.249999999998</v>
      </c>
      <c r="E12" s="2">
        <f t="shared" si="0"/>
        <v>678.21000000000095</v>
      </c>
    </row>
    <row r="13" spans="1:5">
      <c r="A13" s="30" t="s">
        <v>17</v>
      </c>
      <c r="B13" s="34" t="s">
        <v>18</v>
      </c>
      <c r="C13" s="2">
        <f>SUMIF(Charges!B:B,"PVH",Charges!E:E)</f>
        <v>1489549.4200000002</v>
      </c>
      <c r="D13" s="2">
        <f>SUMIF(Payments!B:B,"PVH",Payments!C:C)</f>
        <v>-1258712.32</v>
      </c>
      <c r="E13" s="2">
        <f t="shared" si="0"/>
        <v>230837.10000000009</v>
      </c>
    </row>
    <row r="14" spans="1:5">
      <c r="A14" s="30" t="s">
        <v>17</v>
      </c>
      <c r="B14" s="34" t="s">
        <v>19</v>
      </c>
      <c r="C14" s="2">
        <f>SUMIF(Charges!B:B,"MCR",Charges!E:E)</f>
        <v>996228.59999999986</v>
      </c>
      <c r="D14" s="2">
        <f>SUMIF(Payments!B:B,"MCR",Payments!C:C)</f>
        <v>-948662.18999999983</v>
      </c>
      <c r="E14" s="2">
        <f t="shared" si="0"/>
        <v>47566.410000000033</v>
      </c>
    </row>
    <row r="15" spans="1:5">
      <c r="A15" s="30" t="s">
        <v>17</v>
      </c>
      <c r="B15" s="35" t="s">
        <v>20</v>
      </c>
      <c r="C15" s="2">
        <f>SUMIF(Charges!B:B,"PVMG",Charges!E:E)</f>
        <v>13468.75</v>
      </c>
      <c r="D15" s="2">
        <f>SUMIF(Payments!B:B,"PVMG",Payments!C:C)</f>
        <v>-10437.5</v>
      </c>
      <c r="E15" s="2">
        <f t="shared" si="0"/>
        <v>3031.25</v>
      </c>
    </row>
    <row r="16" spans="1:5">
      <c r="A16" s="30" t="s">
        <v>17</v>
      </c>
      <c r="B16" s="35" t="s">
        <v>21</v>
      </c>
      <c r="C16" s="2">
        <f>SUMIF(Charges!B:B,"GREELEY",Charges!E:E)</f>
        <v>533699.56000000006</v>
      </c>
      <c r="D16" s="2">
        <f>SUMIF(Payments!B:B,"GREELEY",Payments!C:C)</f>
        <v>-496822.69999999995</v>
      </c>
      <c r="E16" s="2">
        <f t="shared" si="0"/>
        <v>36876.860000000102</v>
      </c>
    </row>
    <row r="17" spans="1:5">
      <c r="A17" s="30" t="s">
        <v>17</v>
      </c>
      <c r="B17" s="35" t="s">
        <v>22</v>
      </c>
      <c r="C17" s="2">
        <f>SUMIF(Charges!B:B,"MHS-CENTRAL",Charges!E:E)</f>
        <v>478100.98999999993</v>
      </c>
      <c r="D17" s="2">
        <f>SUMIF(Payments!B:B,"MHS-CENTRAL",Payments!C:C)</f>
        <v>-390333.96</v>
      </c>
      <c r="E17" s="2">
        <f t="shared" si="0"/>
        <v>87767.029999999912</v>
      </c>
    </row>
    <row r="18" spans="1:5">
      <c r="A18" s="30" t="s">
        <v>17</v>
      </c>
      <c r="B18" s="35" t="s">
        <v>23</v>
      </c>
      <c r="C18" s="2">
        <f>SUMIF(Charges!B:B,"MHS-NORTH",Charges!E:E)</f>
        <v>97498.159999999974</v>
      </c>
      <c r="D18" s="2">
        <f>SUMIF(Payments!B:B,"MHS-NORTH",Payments!C:C)</f>
        <v>-49689.039999999994</v>
      </c>
      <c r="E18" s="2">
        <f t="shared" si="0"/>
        <v>47809.119999999981</v>
      </c>
    </row>
    <row r="19" spans="1:5">
      <c r="A19" s="30" t="s">
        <v>17</v>
      </c>
      <c r="B19" s="35" t="s">
        <v>24</v>
      </c>
      <c r="C19" s="2">
        <f>SUMIF(Charges!B:B,"GRANDVIEW",Charges!E:E)</f>
        <v>2895.75</v>
      </c>
      <c r="D19" s="2">
        <f>SUMIF(Payments!B:B,"GRANDVIEW",Payments!C:C)</f>
        <v>-2531.25</v>
      </c>
      <c r="E19" s="2">
        <f t="shared" si="0"/>
        <v>364.5</v>
      </c>
    </row>
    <row r="20" spans="1:5">
      <c r="A20" s="30" t="s">
        <v>17</v>
      </c>
      <c r="B20" s="35" t="s">
        <v>25</v>
      </c>
      <c r="C20" s="2">
        <f>SUMIF(Charges!B:B,"PIKES PEAK",Charges!E:E)</f>
        <v>1875.38</v>
      </c>
      <c r="D20" s="2">
        <f>SUMIF(Payments!B:B,"PIKES PEAK",Payments!C:C)</f>
        <v>-1430.88</v>
      </c>
      <c r="E20" s="2">
        <f t="shared" si="0"/>
        <v>444.5</v>
      </c>
    </row>
    <row r="21" spans="1:5">
      <c r="A21" s="30" t="s">
        <v>17</v>
      </c>
      <c r="B21" s="35" t="s">
        <v>26</v>
      </c>
      <c r="C21" s="2">
        <f>SUMIF(Charges!B:B,"CHILDREN'S",Charges!E:E)</f>
        <v>1500</v>
      </c>
      <c r="D21" s="2">
        <f>SUMIF(Payments!B:B,"CHILDREN'S",Payments!C:C)</f>
        <v>-1500</v>
      </c>
      <c r="E21" s="2">
        <f t="shared" si="0"/>
        <v>0</v>
      </c>
    </row>
    <row r="22" spans="1:5">
      <c r="B22" s="35" t="s">
        <v>27</v>
      </c>
      <c r="C22" s="2">
        <f>SUMIF(Charges!B:B,"BMC FRED",Charges!E:E)</f>
        <v>800</v>
      </c>
      <c r="D22" s="2">
        <f>SUMIF(Payments!B:B,"BMC FRED",Payments!C:C)</f>
        <v>-800</v>
      </c>
      <c r="E22" s="2">
        <f t="shared" si="0"/>
        <v>0</v>
      </c>
    </row>
    <row r="23" spans="1:5">
      <c r="B23" s="35" t="s">
        <v>28</v>
      </c>
      <c r="C23" s="2">
        <f>SUMIF(Charges!B:B,"FMC FRED",Charges!E:E)</f>
        <v>600</v>
      </c>
      <c r="D23" s="2">
        <f>SUMIF(Payments!B:B,"FMC FRED",Payments!C:C)</f>
        <v>-600</v>
      </c>
      <c r="E23" s="2">
        <f t="shared" si="0"/>
        <v>0</v>
      </c>
    </row>
    <row r="24" spans="1:5">
      <c r="B24" s="35" t="s">
        <v>29</v>
      </c>
      <c r="C24" s="2">
        <f>SUMIF(Charges!B:B,"MMC FRED",Charges!E:E)</f>
        <v>600</v>
      </c>
      <c r="D24" s="2">
        <f>SUMIF(Payments!B:B,"MMC FRED",Payments!C:C)</f>
        <v>-600</v>
      </c>
      <c r="E24" s="2">
        <f t="shared" si="0"/>
        <v>0</v>
      </c>
    </row>
    <row r="25" spans="1:5">
      <c r="B25" s="35" t="s">
        <v>30</v>
      </c>
      <c r="C25" s="2">
        <f>SUMIF(Charges!B:B,"NPMC FRED",Charges!E:E)</f>
        <v>600</v>
      </c>
      <c r="D25" s="2">
        <f>SUMIF(Payments!B:B,"NPMC FRED",Payments!C:C)</f>
        <v>-600</v>
      </c>
      <c r="E25" s="2">
        <f t="shared" si="0"/>
        <v>0</v>
      </c>
    </row>
    <row r="26" spans="1:5">
      <c r="B26" s="35" t="s">
        <v>31</v>
      </c>
      <c r="C26" s="2">
        <f>SUMIF(Charges!B:B,"CPMC",Charges!E:E)</f>
        <v>44954.44999999999</v>
      </c>
      <c r="D26" s="2">
        <f>SUMIF(Payments!B:B,"CPMC",Payments!C:C)</f>
        <v>-36514.080000000002</v>
      </c>
      <c r="E26" s="2">
        <f t="shared" si="0"/>
        <v>8440.3699999999881</v>
      </c>
    </row>
    <row r="27" spans="1:5">
      <c r="B27" s="35" t="s">
        <v>32</v>
      </c>
      <c r="C27" s="2">
        <f>SUMIF(Charges!B:B,"EPMC",Charges!E:E)</f>
        <v>28462.659999999996</v>
      </c>
      <c r="D27" s="2">
        <f>SUMIF(Payments!B:B,"EPMC",Payments!C:C)</f>
        <v>-26649.86</v>
      </c>
      <c r="E27" s="2">
        <f t="shared" si="0"/>
        <v>1812.7999999999956</v>
      </c>
    </row>
    <row r="28" spans="1:5">
      <c r="B28" s="35" t="s">
        <v>33</v>
      </c>
      <c r="C28" s="2">
        <f>SUMIF(Charges!B:B,"SPL",Charges!E:E)</f>
        <v>0</v>
      </c>
      <c r="D28" s="2">
        <f>SUMIF(Payments!B:B,"SPL",Payments!C:C)</f>
        <v>0</v>
      </c>
      <c r="E28" s="2">
        <f t="shared" si="0"/>
        <v>0</v>
      </c>
    </row>
    <row r="29" spans="1:5">
      <c r="B29" s="35" t="s">
        <v>34</v>
      </c>
      <c r="C29" s="2">
        <f>SUMIF(Charges!B:B,"CFG",Charges!E:E)</f>
        <v>23142</v>
      </c>
      <c r="D29" s="2">
        <f>SUMIF(Payments!B:B,"CFG",Payments!C:C)</f>
        <v>-23142</v>
      </c>
      <c r="E29" s="2">
        <f t="shared" si="0"/>
        <v>0</v>
      </c>
    </row>
    <row r="30" spans="1:5">
      <c r="B30" s="35" t="s">
        <v>35</v>
      </c>
      <c r="C30" s="2">
        <f>SUMIF(Charges!B:B,"LTACH",Charges!E:E)</f>
        <v>825</v>
      </c>
      <c r="D30" s="2">
        <f>SUMIF(Payments!B:B,"LTACH",Payments!C:C)</f>
        <v>-825</v>
      </c>
      <c r="E30" s="2">
        <f t="shared" si="0"/>
        <v>0</v>
      </c>
    </row>
    <row r="31" spans="1:5">
      <c r="B31" s="35" t="s">
        <v>36</v>
      </c>
      <c r="C31" s="2">
        <f>SUMIF(Charges!B:B,"CHEYENNE VA",Charges!E:E)</f>
        <v>283257.37</v>
      </c>
      <c r="D31" s="2">
        <f>SUMIF(Payments!B:B,"CHEYENNE VA",Payments!C:C)</f>
        <v>-14823.6</v>
      </c>
      <c r="E31" s="2">
        <f t="shared" si="0"/>
        <v>268433.77</v>
      </c>
    </row>
    <row r="32" spans="1:5">
      <c r="B32" s="35" t="s">
        <v>37</v>
      </c>
      <c r="C32" s="2">
        <f>SUMIF(Charges!B:B,"CRMC",Charges!E:E)</f>
        <v>22500</v>
      </c>
      <c r="D32" s="2">
        <f>SUMIF(Payments!B:B,"CRMC",Payments!C:C)</f>
        <v>0</v>
      </c>
      <c r="E32" s="2">
        <f t="shared" si="0"/>
        <v>22500</v>
      </c>
    </row>
    <row r="33" spans="2:5">
      <c r="B33" s="35" t="s">
        <v>38</v>
      </c>
      <c r="C33" s="2">
        <f>SUMIF(Charges!B:B,"CRMC EXPENSES",Charges!E:E)</f>
        <v>0</v>
      </c>
      <c r="D33" s="2">
        <f>SUMIF(Payments!B:B,"CRMC EXPENSES",Payments!C:C)</f>
        <v>0</v>
      </c>
      <c r="E33" s="2">
        <f t="shared" si="0"/>
        <v>0</v>
      </c>
    </row>
    <row r="34" spans="2:5">
      <c r="B34" s="35" t="s">
        <v>39</v>
      </c>
      <c r="C34" s="2">
        <f>SUMIF(Charges!B:B,"DOUGLAS (MHCC)",Charges!E:E)</f>
        <v>86791.579999999987</v>
      </c>
      <c r="D34" s="2">
        <f>SUMIF(Payments!B:B,"DOUGLAS (MHCC)",Payments!C:C)</f>
        <v>-71592.78</v>
      </c>
      <c r="E34" s="2">
        <f t="shared" si="0"/>
        <v>15198.799999999988</v>
      </c>
    </row>
    <row r="35" spans="2:5">
      <c r="B35" s="35" t="s">
        <v>40</v>
      </c>
      <c r="C35" s="2">
        <f>SUMIF(Charges!B:B,"KIMBALL",Charges!E:E)</f>
        <v>24841.59</v>
      </c>
      <c r="D35" s="2">
        <f>SUMIF(Payments!B:B,"KIMBALL",Payments!C:C)</f>
        <v>-22225.73</v>
      </c>
      <c r="E35" s="2">
        <f t="shared" si="0"/>
        <v>2615.8600000000006</v>
      </c>
    </row>
    <row r="36" spans="2:5">
      <c r="B36" s="35" t="s">
        <v>41</v>
      </c>
      <c r="C36" s="2">
        <f>SUMIF(Charges!B:B,"RAWLINS",Charges!E:E)</f>
        <v>43156.700000000004</v>
      </c>
      <c r="D36" s="2">
        <f>SUMIF(Payments!B:B,"RAWLINS",Payments!C:C)</f>
        <v>-31661.140000000003</v>
      </c>
      <c r="E36" s="2">
        <f t="shared" si="0"/>
        <v>11495.560000000001</v>
      </c>
    </row>
    <row r="37" spans="2:5">
      <c r="B37" s="35" t="s">
        <v>42</v>
      </c>
      <c r="C37" s="2">
        <f>SUMIF(Charges!B:B,"IVINSON",Charges!E:E)</f>
        <v>0</v>
      </c>
      <c r="D37" s="2">
        <f>SUMIF(Payments!B:B,"IVINSON",Payments!C:C)</f>
        <v>0</v>
      </c>
      <c r="E37" s="2">
        <f t="shared" si="0"/>
        <v>0</v>
      </c>
    </row>
    <row r="38" spans="2:5">
      <c r="B38" s="35" t="s">
        <v>43</v>
      </c>
      <c r="C38" s="2">
        <f>SUMIF(Charges!B:B,"DIVINE DERM (seen in Clinic billing but is SP's)",Charges!E:E)</f>
        <v>31.25</v>
      </c>
      <c r="D38" s="2">
        <f>SUMIF(Payments!B:B,"DIVINE DERM (seen in Clinic billing but is SP's)",Payments!C:C)</f>
        <v>0</v>
      </c>
      <c r="E38" s="2">
        <f t="shared" si="0"/>
        <v>31.25</v>
      </c>
    </row>
    <row r="39" spans="2:5">
      <c r="B39" s="35" t="s">
        <v>44</v>
      </c>
      <c r="C39" s="2">
        <f>SUMIF(Charges!B:B,"PEAK GASTRO (seen in Clinic billing but is SP's)",Charges!E:E)</f>
        <v>130</v>
      </c>
      <c r="D39" s="2">
        <f>SUMIF(Payments!B:B,"PEAK GASTRO (seen in Clinic billing but is SP's)",Payments!C:C)</f>
        <v>0</v>
      </c>
      <c r="E39" s="2">
        <f t="shared" si="0"/>
        <v>130</v>
      </c>
    </row>
    <row r="40" spans="2:5">
      <c r="B40" s="35" t="s">
        <v>45</v>
      </c>
      <c r="C40" s="2">
        <f>SUMIF(Charges!B:B,"LCHC",Charges!E:E)</f>
        <v>0</v>
      </c>
      <c r="D40" s="2">
        <f>SUMIF(Payments!B:B,"LCHC",Payments!C:C)</f>
        <v>0</v>
      </c>
      <c r="E40" s="2">
        <f t="shared" si="0"/>
        <v>0</v>
      </c>
    </row>
    <row r="41" spans="2:5">
      <c r="B41" s="35" t="s">
        <v>46</v>
      </c>
      <c r="C41" s="2">
        <f>SUMIF(Charges!B:B,"ST MATTHEWS",Charges!E:E)</f>
        <v>0</v>
      </c>
      <c r="D41" s="2">
        <f>SUMIF(Payments!B:B,"ST MATTHEWS",Payments!C:C)</f>
        <v>0</v>
      </c>
      <c r="E41" s="2">
        <f t="shared" si="0"/>
        <v>0</v>
      </c>
    </row>
    <row r="42" spans="2:5">
      <c r="B42" s="35" t="s">
        <v>47</v>
      </c>
      <c r="C42" s="2">
        <f>SUMIF(Charges!B:B,"SUNRISE/MONFORT",Charges!E:E)</f>
        <v>0</v>
      </c>
      <c r="D42" s="2">
        <f>SUMIF(Payments!B:B,"SUNRISE/MONFORT",Payments!C:C)</f>
        <v>0</v>
      </c>
      <c r="E42" s="2">
        <f t="shared" si="0"/>
        <v>0</v>
      </c>
    </row>
    <row r="43" spans="2:5">
      <c r="B43" s="35" t="s">
        <v>48</v>
      </c>
      <c r="C43" s="2">
        <f>SUMIF(Charges!B:B,"Planned Parenthood",Charges!E:E)</f>
        <v>0</v>
      </c>
      <c r="D43" s="2">
        <f>SUMIF(Payments!B:B,"PLANNED PARENTHOOD",Payments!C:C)</f>
        <v>0</v>
      </c>
      <c r="E43" s="2">
        <f t="shared" si="0"/>
        <v>0</v>
      </c>
    </row>
    <row r="44" spans="2:5">
      <c r="B44" s="35" t="s">
        <v>49</v>
      </c>
      <c r="C44" s="2">
        <f>SUMIF(Charges!B:B,"ADAMS CTY",Charges!E:E)</f>
        <v>5481.67</v>
      </c>
      <c r="D44" s="2">
        <f>SUMIF(Payments!B:B,"ADAMS CTY",Payments!C:C)</f>
        <v>-1232.8800000000001</v>
      </c>
      <c r="E44" s="2">
        <f t="shared" si="0"/>
        <v>4248.79</v>
      </c>
    </row>
    <row r="45" spans="2:5">
      <c r="B45" s="35" t="s">
        <v>50</v>
      </c>
      <c r="C45" s="2">
        <f>SUMIF(Charges!B:B,"ARAPAHOE CTY",Charges!E:E)</f>
        <v>5680</v>
      </c>
      <c r="D45" s="2">
        <f>SUMIF(Payments!B:B,"ARAPAHOE CTY",Payments!C:C)</f>
        <v>-5290</v>
      </c>
      <c r="E45" s="2">
        <f t="shared" si="0"/>
        <v>390</v>
      </c>
    </row>
    <row r="46" spans="2:5">
      <c r="B46" s="35" t="s">
        <v>51</v>
      </c>
      <c r="C46" s="2">
        <f>SUMIF(Charges!B:B,"AUTOPSY CTR OF CO",Charges!E:E)</f>
        <v>260.26</v>
      </c>
      <c r="D46" s="2">
        <f>SUMIF(Payments!B:B,"AUTOPSY CTR OF CO",Payments!C:C)</f>
        <v>-98</v>
      </c>
      <c r="E46" s="2">
        <f t="shared" si="0"/>
        <v>162.26</v>
      </c>
    </row>
    <row r="47" spans="2:5">
      <c r="B47" s="35" t="s">
        <v>52</v>
      </c>
      <c r="C47" s="2">
        <f>SUMIF(Charges!B:B,"BOULDER CTY",Charges!E:E)</f>
        <v>10487.199999999999</v>
      </c>
      <c r="D47" s="2">
        <f>SUMIF(Payments!B:B,"BOULDER CTY",Payments!C:C)</f>
        <v>-10487.199999999999</v>
      </c>
      <c r="E47" s="2">
        <f t="shared" si="0"/>
        <v>0</v>
      </c>
    </row>
    <row r="48" spans="2:5">
      <c r="B48" s="35" t="s">
        <v>53</v>
      </c>
      <c r="C48" s="2">
        <f>SUMIF(Charges!B:B,"BURSON",Charges!E:E)</f>
        <v>14245</v>
      </c>
      <c r="D48" s="2">
        <f>SUMIF(Payments!B:B,"BURSON",Payments!C:C)</f>
        <v>-14245</v>
      </c>
      <c r="E48" s="2">
        <f t="shared" si="0"/>
        <v>0</v>
      </c>
    </row>
    <row r="49" spans="2:7">
      <c r="B49" s="35" t="s">
        <v>54</v>
      </c>
      <c r="C49" s="2">
        <f>SUMIF(Charges!B:B,"CARVER",Charges!E:E)</f>
        <v>3498.74</v>
      </c>
      <c r="D49" s="2">
        <f>SUMIF(Payments!B:B,"CARVER",Payments!C:C)</f>
        <v>-3498.74</v>
      </c>
      <c r="E49" s="2">
        <f t="shared" si="0"/>
        <v>0</v>
      </c>
    </row>
    <row r="50" spans="2:7">
      <c r="B50" s="35" t="s">
        <v>55</v>
      </c>
      <c r="C50" s="2">
        <f>SUMIF(Charges!B:B,"CINA",Charges!E:E)</f>
        <v>140</v>
      </c>
      <c r="D50" s="2">
        <f>SUMIF(Payments!B:B,"CINA",Payments!C:C)</f>
        <v>-140</v>
      </c>
      <c r="E50" s="2">
        <f t="shared" si="0"/>
        <v>0</v>
      </c>
    </row>
    <row r="51" spans="2:7">
      <c r="B51" s="35" t="s">
        <v>56</v>
      </c>
      <c r="C51" s="2">
        <f>SUMIF(Charges!B:B,"CLEAR CREEK",Charges!E:E)</f>
        <v>410.3</v>
      </c>
      <c r="D51" s="2">
        <f>SUMIF(Payments!B:B,"CLEAR CREEK",Payments!C:C)</f>
        <v>-410.3</v>
      </c>
      <c r="E51" s="2">
        <f t="shared" si="0"/>
        <v>0</v>
      </c>
    </row>
    <row r="52" spans="2:7">
      <c r="B52" s="35" t="s">
        <v>57</v>
      </c>
      <c r="C52" s="2">
        <f>SUMIF(Charges!B:B,"DOUGLAS CTY CORONER",Charges!E:E)</f>
        <v>464</v>
      </c>
      <c r="D52" s="2">
        <f>SUMIF(Payments!B:B,"DOUGLAS CTY CORONER",Payments!C:C)</f>
        <v>-210</v>
      </c>
      <c r="E52" s="2">
        <f t="shared" si="0"/>
        <v>254</v>
      </c>
    </row>
    <row r="53" spans="2:7">
      <c r="B53" s="35" t="s">
        <v>58</v>
      </c>
      <c r="C53" s="2">
        <f>SUMIF(Charges!B:B,"GILPIN CTY",Charges!E:E)</f>
        <v>250</v>
      </c>
      <c r="D53" s="2">
        <f>SUMIF(Payments!B:B,"GILPIN CTY",Payments!C:C)</f>
        <v>-250</v>
      </c>
      <c r="E53" s="2">
        <f t="shared" si="0"/>
        <v>0</v>
      </c>
    </row>
    <row r="54" spans="2:7">
      <c r="B54" s="35" t="s">
        <v>59</v>
      </c>
      <c r="C54" s="2">
        <f>SUMIF(Charges!B:B,"JEFFERSON CTY",Charges!E:E)</f>
        <v>9676.65</v>
      </c>
      <c r="D54" s="2">
        <f>SUMIF(Payments!B:B,"JEFFERSON CTY",Payments!C:C)</f>
        <v>-9676.65</v>
      </c>
      <c r="E54" s="2">
        <f t="shared" si="0"/>
        <v>0</v>
      </c>
    </row>
    <row r="55" spans="2:7">
      <c r="B55" s="35" t="s">
        <v>60</v>
      </c>
      <c r="C55" s="2">
        <f>SUMIF(Charges!B:B,"LARIMER COUNTY",Charges!E:E)</f>
        <v>10959.09</v>
      </c>
      <c r="D55" s="2">
        <f>SUMIF(Payments!B:B,"LARIMER COUNTY",Payments!C:C)</f>
        <v>-10147.09</v>
      </c>
      <c r="E55" s="2">
        <f t="shared" si="0"/>
        <v>812</v>
      </c>
    </row>
    <row r="56" spans="2:7">
      <c r="B56" s="35" t="s">
        <v>61</v>
      </c>
      <c r="C56" s="2">
        <f>SUMIF(Charges!B:B,"LINGAMFELTER",Charges!E:E)</f>
        <v>1160</v>
      </c>
      <c r="D56" s="2">
        <f>SUMIF(Payments!B:B,"LINGAMFELTER",Payments!C:C)</f>
        <v>0</v>
      </c>
      <c r="E56" s="2">
        <f t="shared" si="0"/>
        <v>1160</v>
      </c>
    </row>
    <row r="57" spans="2:7">
      <c r="B57" s="35" t="s">
        <v>62</v>
      </c>
      <c r="C57" s="2">
        <f>SUMIF(Charges!B:B,"SUMMIT CTY",Charges!E:E)</f>
        <v>1031.0999999999999</v>
      </c>
      <c r="D57" s="2">
        <f>SUMIF(Payments!B:B,"SUMMIT CTY",Payments!C:C)</f>
        <v>-971.05</v>
      </c>
      <c r="E57" s="2">
        <f t="shared" si="0"/>
        <v>60.049999999999955</v>
      </c>
    </row>
    <row r="58" spans="2:7">
      <c r="B58" s="35" t="s">
        <v>63</v>
      </c>
      <c r="C58" s="2">
        <f>SUMIF(Charges!B:B,"WILKERSON",Charges!E:E)</f>
        <v>5994</v>
      </c>
      <c r="D58" s="2">
        <f>SUMIF(Payments!B:B,"WILKERSON",Payments!C:C)</f>
        <v>-5364</v>
      </c>
      <c r="E58" s="2">
        <f t="shared" si="0"/>
        <v>630</v>
      </c>
      <c r="G58" s="2"/>
    </row>
    <row r="59" spans="2:7">
      <c r="B59" s="34" t="s">
        <v>140</v>
      </c>
      <c r="C59" s="2">
        <f>SUMIF(Charges!B:B,"DOUGLAS CTY COURIER",Charges!E:E)</f>
        <v>1033</v>
      </c>
      <c r="D59" s="2">
        <f>SUMIF(Payments!B:B,"DOUGLAS CTY COURIER",Payments!C:C)</f>
        <v>-1033</v>
      </c>
      <c r="E59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4"/>
  <sheetViews>
    <sheetView workbookViewId="0">
      <pane ySplit="1" topLeftCell="A23" activePane="bottomLeft" state="frozen"/>
      <selection pane="bottomLeft" activeCell="A31" sqref="A31"/>
    </sheetView>
  </sheetViews>
  <sheetFormatPr defaultRowHeight="14.5"/>
  <cols>
    <col min="1" max="1" width="9.453125" style="8" bestFit="1" customWidth="1"/>
    <col min="2" max="2" width="43.1796875" style="36" bestFit="1" customWidth="1"/>
    <col min="3" max="3" width="12.7265625" style="7" bestFit="1" customWidth="1"/>
    <col min="4" max="4" width="24.54296875" style="13" bestFit="1" customWidth="1"/>
    <col min="5" max="5" width="15.81640625" style="15" bestFit="1" customWidth="1"/>
    <col min="6" max="6" width="11.453125" style="9" bestFit="1" customWidth="1"/>
    <col min="7" max="7" width="32.1796875" style="9" bestFit="1" customWidth="1"/>
    <col min="8" max="8" width="10.453125" style="20" bestFit="1" customWidth="1"/>
    <col min="9" max="9" width="120.26953125" bestFit="1" customWidth="1"/>
  </cols>
  <sheetData>
    <row r="1" spans="1:9">
      <c r="A1" s="5" t="s">
        <v>64</v>
      </c>
      <c r="B1" s="33" t="s">
        <v>1</v>
      </c>
      <c r="C1" s="7" t="s">
        <v>875</v>
      </c>
      <c r="D1" s="13" t="s">
        <v>65</v>
      </c>
      <c r="E1" s="14" t="s">
        <v>876</v>
      </c>
      <c r="F1" s="6" t="s">
        <v>66</v>
      </c>
      <c r="G1" s="9" t="s">
        <v>67</v>
      </c>
      <c r="H1" s="20" t="s">
        <v>68</v>
      </c>
      <c r="I1" s="30" t="s">
        <v>69</v>
      </c>
    </row>
    <row r="2" spans="1:9">
      <c r="A2" s="8" t="s">
        <v>70</v>
      </c>
      <c r="B2" s="34" t="s">
        <v>6</v>
      </c>
      <c r="C2" s="49">
        <v>43842</v>
      </c>
      <c r="D2" s="11" t="s">
        <v>71</v>
      </c>
      <c r="E2" s="10">
        <v>27306.5</v>
      </c>
      <c r="F2" s="9" t="s">
        <v>72</v>
      </c>
      <c r="G2" s="9" t="str">
        <f>IF(IFERROR(VLOOKUP(D2,Payments!G:G,1,FALSE),"UNPAID")=D2,"yes","no")</f>
        <v>yes</v>
      </c>
      <c r="H2" s="17">
        <v>3170.45</v>
      </c>
      <c r="I2" s="8"/>
    </row>
    <row r="3" spans="1:9">
      <c r="A3" s="8" t="s">
        <v>70</v>
      </c>
      <c r="B3" s="34" t="s">
        <v>6</v>
      </c>
      <c r="C3" s="49">
        <v>43842</v>
      </c>
      <c r="D3" s="11" t="s">
        <v>73</v>
      </c>
      <c r="E3" s="10">
        <f>163.5*110</f>
        <v>17985</v>
      </c>
      <c r="F3" s="9" t="s">
        <v>74</v>
      </c>
      <c r="G3" s="9" t="str">
        <f>IF(IFERROR(VLOOKUP(D3,Payments!G:G,1,FALSE),"UNPAID")=D3,"yes","no")</f>
        <v>yes</v>
      </c>
      <c r="I3" s="8"/>
    </row>
    <row r="4" spans="1:9">
      <c r="A4" s="8" t="s">
        <v>70</v>
      </c>
      <c r="B4" s="34" t="s">
        <v>6</v>
      </c>
      <c r="C4" s="49">
        <v>43857</v>
      </c>
      <c r="D4" s="11" t="s">
        <v>75</v>
      </c>
      <c r="E4" s="10">
        <v>38527.64</v>
      </c>
      <c r="F4" s="9" t="s">
        <v>72</v>
      </c>
      <c r="G4" s="9" t="str">
        <f>IF(IFERROR(VLOOKUP(D4,Payments!G:G,1,FALSE),"UNPAID")=D4,"yes","no")</f>
        <v>yes</v>
      </c>
      <c r="H4" s="17">
        <v>2842.84</v>
      </c>
      <c r="I4" s="8"/>
    </row>
    <row r="5" spans="1:9">
      <c r="A5" s="8" t="s">
        <v>70</v>
      </c>
      <c r="B5" s="34" t="s">
        <v>7</v>
      </c>
      <c r="C5" s="49">
        <v>43842</v>
      </c>
      <c r="D5" s="11" t="s">
        <v>76</v>
      </c>
      <c r="E5" s="10">
        <v>15552.98</v>
      </c>
      <c r="F5" s="9" t="s">
        <v>77</v>
      </c>
      <c r="G5" s="9" t="str">
        <f>IF(IFERROR(VLOOKUP(D5,Payments!G:G,1,FALSE),"UNPAID")=D5,"yes","no")</f>
        <v>yes</v>
      </c>
      <c r="H5" s="17">
        <v>811.2</v>
      </c>
      <c r="I5" s="8"/>
    </row>
    <row r="6" spans="1:9">
      <c r="A6" s="8" t="s">
        <v>70</v>
      </c>
      <c r="B6" s="34" t="s">
        <v>7</v>
      </c>
      <c r="C6" s="49">
        <v>43842</v>
      </c>
      <c r="D6" s="11" t="s">
        <v>78</v>
      </c>
      <c r="E6" s="10">
        <f>90.75*110</f>
        <v>9982.5</v>
      </c>
      <c r="F6" s="9" t="s">
        <v>74</v>
      </c>
      <c r="G6" s="9" t="str">
        <f>IF(IFERROR(VLOOKUP(D6,Payments!G:G,1,FALSE),"UNPAID")=D6,"yes","no")</f>
        <v>yes</v>
      </c>
      <c r="H6" s="17"/>
      <c r="I6" s="8"/>
    </row>
    <row r="7" spans="1:9">
      <c r="A7" s="8" t="s">
        <v>70</v>
      </c>
      <c r="B7" s="34" t="s">
        <v>7</v>
      </c>
      <c r="C7" s="49">
        <v>43857</v>
      </c>
      <c r="D7" s="11" t="s">
        <v>79</v>
      </c>
      <c r="E7" s="10">
        <v>22001.82</v>
      </c>
      <c r="F7" s="9" t="s">
        <v>72</v>
      </c>
      <c r="G7" s="9" t="str">
        <f>IF(IFERROR(VLOOKUP(D7,Payments!G:G,1,FALSE),"UNPAID")=D7,"yes","no")</f>
        <v>yes</v>
      </c>
      <c r="H7" s="17">
        <v>926.83</v>
      </c>
      <c r="I7" s="8"/>
    </row>
    <row r="8" spans="1:9">
      <c r="A8" s="8" t="s">
        <v>70</v>
      </c>
      <c r="B8" s="34" t="s">
        <v>8</v>
      </c>
      <c r="C8" s="49">
        <v>43857</v>
      </c>
      <c r="D8" s="12" t="s">
        <v>80</v>
      </c>
      <c r="E8" s="10">
        <v>6906.67</v>
      </c>
      <c r="F8" s="9" t="s">
        <v>77</v>
      </c>
      <c r="G8" s="9" t="str">
        <f>IF(IFERROR(VLOOKUP(D8,Payments!G:G,1,FALSE),"UNPAID")=D8,"yes","no")</f>
        <v>yes</v>
      </c>
      <c r="H8" s="17">
        <v>516.55999999999995</v>
      </c>
      <c r="I8" s="8"/>
    </row>
    <row r="9" spans="1:9">
      <c r="A9" s="8" t="s">
        <v>70</v>
      </c>
      <c r="B9" s="34" t="s">
        <v>8</v>
      </c>
      <c r="C9" s="49">
        <v>43857</v>
      </c>
      <c r="D9" s="12" t="s">
        <v>81</v>
      </c>
      <c r="E9" s="3">
        <v>37283</v>
      </c>
      <c r="F9" s="9" t="s">
        <v>74</v>
      </c>
      <c r="G9" s="9" t="str">
        <f>IF(IFERROR(VLOOKUP(D9,Payments!G:G,1,FALSE),"UNPAID")=D9,"yes","no")</f>
        <v>yes</v>
      </c>
      <c r="I9" s="8"/>
    </row>
    <row r="10" spans="1:9">
      <c r="A10" s="8" t="s">
        <v>70</v>
      </c>
      <c r="B10" s="34" t="s">
        <v>9</v>
      </c>
      <c r="C10" s="49">
        <v>43857</v>
      </c>
      <c r="D10" s="12" t="s">
        <v>82</v>
      </c>
      <c r="E10" s="10">
        <v>3667.75</v>
      </c>
      <c r="F10" s="9" t="s">
        <v>72</v>
      </c>
      <c r="G10" s="9" t="str">
        <f>IF(IFERROR(VLOOKUP(D10,Payments!G:G,1,FALSE),"UNPAID")=D10,"yes","no")</f>
        <v>yes</v>
      </c>
      <c r="H10" s="17">
        <v>29.95</v>
      </c>
    </row>
    <row r="11" spans="1:9">
      <c r="A11" s="8" t="s">
        <v>70</v>
      </c>
      <c r="B11" s="34" t="s">
        <v>9</v>
      </c>
      <c r="C11" s="49">
        <v>43857</v>
      </c>
      <c r="D11" s="12" t="s">
        <v>83</v>
      </c>
      <c r="E11" s="10">
        <f>4.5*110</f>
        <v>495</v>
      </c>
      <c r="F11" s="9" t="s">
        <v>74</v>
      </c>
      <c r="G11" s="9" t="str">
        <f>IF(IFERROR(VLOOKUP(D11,Payments!G:G,1,FALSE),"UNPAID")=D11,"yes","no")</f>
        <v>yes</v>
      </c>
    </row>
    <row r="12" spans="1:9">
      <c r="A12" s="8" t="s">
        <v>70</v>
      </c>
      <c r="B12" s="34" t="s">
        <v>10</v>
      </c>
      <c r="C12" s="49">
        <v>43857</v>
      </c>
      <c r="D12" s="50" t="s">
        <v>84</v>
      </c>
      <c r="E12" s="10">
        <v>582.54999999999995</v>
      </c>
      <c r="F12" s="9" t="s">
        <v>72</v>
      </c>
      <c r="G12" s="9" t="str">
        <f>IF(IFERROR(VLOOKUP(D12,Payments!G:G,1,FALSE),"UNPAID")=D12,"yes","no")</f>
        <v>yes</v>
      </c>
      <c r="H12" s="17">
        <v>59.9</v>
      </c>
    </row>
    <row r="13" spans="1:9">
      <c r="A13" s="8" t="s">
        <v>70</v>
      </c>
      <c r="B13" s="34" t="s">
        <v>10</v>
      </c>
      <c r="C13" s="49">
        <v>43857</v>
      </c>
      <c r="D13" s="50" t="s">
        <v>85</v>
      </c>
      <c r="E13" s="10">
        <f>3*110</f>
        <v>330</v>
      </c>
      <c r="F13" s="9" t="s">
        <v>74</v>
      </c>
      <c r="G13" s="9" t="str">
        <f>IF(IFERROR(VLOOKUP(D13,Payments!G:G,1,FALSE),"UNPAID")=D13,"yes","no")</f>
        <v>yes</v>
      </c>
    </row>
    <row r="14" spans="1:9">
      <c r="A14" s="8" t="s">
        <v>70</v>
      </c>
      <c r="B14" s="34" t="s">
        <v>11</v>
      </c>
      <c r="C14" s="49">
        <v>43857</v>
      </c>
      <c r="D14" s="51" t="s">
        <v>86</v>
      </c>
      <c r="E14" s="10">
        <v>8797.2199999999993</v>
      </c>
      <c r="F14" s="9" t="s">
        <v>72</v>
      </c>
      <c r="G14" s="9" t="str">
        <f>IF(IFERROR(VLOOKUP(D14,Payments!G:G,1,FALSE),"UNPAID")=D14,"yes","no")</f>
        <v>yes</v>
      </c>
      <c r="H14" s="17">
        <v>168.54</v>
      </c>
    </row>
    <row r="15" spans="1:9">
      <c r="A15" s="8" t="s">
        <v>70</v>
      </c>
      <c r="B15" s="34" t="s">
        <v>11</v>
      </c>
      <c r="C15" s="49">
        <v>43857</v>
      </c>
      <c r="D15" s="51" t="s">
        <v>87</v>
      </c>
      <c r="E15" s="10">
        <f>8.75*110</f>
        <v>962.5</v>
      </c>
      <c r="F15" s="9" t="s">
        <v>74</v>
      </c>
      <c r="G15" s="9" t="str">
        <f>IF(IFERROR(VLOOKUP(D15,Payments!G:G,1,FALSE),"UNPAID")=D15,"yes","no")</f>
        <v>yes</v>
      </c>
    </row>
    <row r="16" spans="1:9">
      <c r="A16" s="8" t="s">
        <v>70</v>
      </c>
      <c r="B16" s="34" t="s">
        <v>12</v>
      </c>
      <c r="C16" s="49">
        <v>43857</v>
      </c>
      <c r="D16" s="51" t="s">
        <v>88</v>
      </c>
      <c r="E16" s="10">
        <v>898.14</v>
      </c>
      <c r="F16" s="9" t="s">
        <v>72</v>
      </c>
      <c r="G16" s="9" t="str">
        <f>IF(IFERROR(VLOOKUP(D16,Payments!G:G,1,FALSE),"UNPAID")=D16,"yes","no")</f>
        <v>yes</v>
      </c>
      <c r="H16" s="17">
        <v>59.05</v>
      </c>
    </row>
    <row r="17" spans="1:8">
      <c r="A17" s="8" t="s">
        <v>70</v>
      </c>
      <c r="B17" s="34" t="s">
        <v>12</v>
      </c>
      <c r="C17" s="49">
        <v>43857</v>
      </c>
      <c r="D17" s="51" t="s">
        <v>89</v>
      </c>
      <c r="E17" s="10">
        <f>10*110</f>
        <v>1100</v>
      </c>
      <c r="F17" s="9" t="s">
        <v>74</v>
      </c>
      <c r="G17" s="9" t="str">
        <f>IF(IFERROR(VLOOKUP(D17,Payments!G:G,1,FALSE),"UNPAID")=D17,"yes","no")</f>
        <v>yes</v>
      </c>
    </row>
    <row r="18" spans="1:8">
      <c r="A18" s="8" t="s">
        <v>70</v>
      </c>
      <c r="B18" s="34" t="s">
        <v>13</v>
      </c>
      <c r="C18" s="49">
        <v>43857</v>
      </c>
      <c r="D18" s="51" t="s">
        <v>90</v>
      </c>
      <c r="E18" s="10">
        <v>100</v>
      </c>
      <c r="F18" s="9" t="s">
        <v>74</v>
      </c>
      <c r="G18" s="9" t="str">
        <f>IF(IFERROR(VLOOKUP(D18,Payments!G:G,1,FALSE),"UNPAID")=D18,"yes","no")</f>
        <v>yes</v>
      </c>
      <c r="H18" s="17">
        <v>50</v>
      </c>
    </row>
    <row r="19" spans="1:8">
      <c r="A19" s="8" t="s">
        <v>70</v>
      </c>
      <c r="B19" s="34" t="s">
        <v>14</v>
      </c>
      <c r="C19" s="49">
        <v>43857</v>
      </c>
      <c r="D19" s="51" t="s">
        <v>91</v>
      </c>
      <c r="E19" s="10">
        <v>822.41</v>
      </c>
      <c r="F19" s="9" t="s">
        <v>72</v>
      </c>
      <c r="G19" s="9" t="str">
        <f>IF(IFERROR(VLOOKUP(D19,Payments!G:G,1,FALSE),"UNPAID")=D19,"yes","no")</f>
        <v>yes</v>
      </c>
    </row>
    <row r="20" spans="1:8">
      <c r="A20" s="8" t="s">
        <v>70</v>
      </c>
      <c r="B20" s="34" t="s">
        <v>14</v>
      </c>
      <c r="C20" s="49">
        <v>43857</v>
      </c>
      <c r="D20" s="51" t="s">
        <v>92</v>
      </c>
      <c r="E20" s="10">
        <f>4*110</f>
        <v>440</v>
      </c>
      <c r="F20" s="9" t="s">
        <v>74</v>
      </c>
      <c r="G20" s="9" t="str">
        <f>IF(IFERROR(VLOOKUP(D20,Payments!G:G,1,FALSE),"UNPAID")=D20,"yes","no")</f>
        <v>yes</v>
      </c>
    </row>
    <row r="21" spans="1:8">
      <c r="A21" s="8" t="s">
        <v>70</v>
      </c>
      <c r="B21" s="34" t="s">
        <v>15</v>
      </c>
      <c r="C21" s="49">
        <v>43857</v>
      </c>
      <c r="D21" s="51" t="s">
        <v>93</v>
      </c>
      <c r="E21" s="10">
        <f>5*110</f>
        <v>550</v>
      </c>
      <c r="F21" s="9" t="s">
        <v>74</v>
      </c>
      <c r="G21" s="9" t="str">
        <f>IF(IFERROR(VLOOKUP(D21,Payments!G:G,1,FALSE),"UNPAID")=D21,"yes","no")</f>
        <v>yes</v>
      </c>
    </row>
    <row r="22" spans="1:8">
      <c r="A22" s="8" t="s">
        <v>70</v>
      </c>
      <c r="B22" s="34" t="s">
        <v>16</v>
      </c>
      <c r="C22" s="49">
        <v>43857</v>
      </c>
      <c r="D22" s="51" t="s">
        <v>94</v>
      </c>
      <c r="E22" s="10">
        <v>472.57</v>
      </c>
      <c r="F22" s="9" t="s">
        <v>72</v>
      </c>
      <c r="G22" s="9" t="str">
        <f>IF(IFERROR(VLOOKUP(D22,Payments!G:G,1,FALSE),"UNPAID")=D22,"yes","no")</f>
        <v>yes</v>
      </c>
    </row>
    <row r="23" spans="1:8">
      <c r="A23" s="8" t="s">
        <v>17</v>
      </c>
      <c r="B23" s="34" t="s">
        <v>18</v>
      </c>
      <c r="C23" s="49">
        <v>43842</v>
      </c>
      <c r="D23" s="51" t="s">
        <v>95</v>
      </c>
      <c r="E23" s="10">
        <v>46348.65</v>
      </c>
      <c r="F23" s="9" t="s">
        <v>72</v>
      </c>
      <c r="G23" s="9" t="str">
        <f>IF(IFERROR(VLOOKUP(D23,Payments!G:G,1,FALSE),"UNPAID")=D23,"yes","no")</f>
        <v>yes</v>
      </c>
      <c r="H23" s="17">
        <v>3202.56</v>
      </c>
    </row>
    <row r="24" spans="1:8">
      <c r="A24" s="8" t="s">
        <v>17</v>
      </c>
      <c r="B24" s="34" t="s">
        <v>18</v>
      </c>
      <c r="C24" s="49">
        <v>43842</v>
      </c>
      <c r="D24" s="51" t="s">
        <v>96</v>
      </c>
      <c r="E24" s="10">
        <f>264.75*125</f>
        <v>33093.75</v>
      </c>
      <c r="F24" s="9" t="s">
        <v>74</v>
      </c>
      <c r="G24" s="9" t="str">
        <f>IF(IFERROR(VLOOKUP(D24,Payments!G:G,1,FALSE),"UNPAID")=D24,"yes","no")</f>
        <v>yes</v>
      </c>
    </row>
    <row r="25" spans="1:8">
      <c r="A25" s="8" t="s">
        <v>17</v>
      </c>
      <c r="B25" s="34" t="s">
        <v>18</v>
      </c>
      <c r="C25" s="49">
        <v>43857</v>
      </c>
      <c r="D25" s="51" t="s">
        <v>97</v>
      </c>
      <c r="E25" s="10">
        <v>65596.86</v>
      </c>
      <c r="F25" s="9" t="s">
        <v>72</v>
      </c>
      <c r="G25" s="9" t="str">
        <f>IF(IFERROR(VLOOKUP(D25,Payments!G:G,1,FALSE),"UNPAID")=D25,"yes","no")</f>
        <v>yes</v>
      </c>
      <c r="H25" s="17">
        <v>5536.4</v>
      </c>
    </row>
    <row r="26" spans="1:8">
      <c r="A26" s="8" t="s">
        <v>17</v>
      </c>
      <c r="B26" s="34" t="s">
        <v>19</v>
      </c>
      <c r="C26" s="49">
        <v>43842</v>
      </c>
      <c r="D26" s="51" t="s">
        <v>98</v>
      </c>
      <c r="E26" s="10">
        <v>41712.120000000003</v>
      </c>
      <c r="F26" s="9" t="s">
        <v>72</v>
      </c>
      <c r="G26" s="9" t="str">
        <f>IF(IFERROR(VLOOKUP(D26,Payments!G:G,1,FALSE),"UNPAID")=D26,"yes","no")</f>
        <v>yes</v>
      </c>
      <c r="H26" s="17">
        <v>1483.64</v>
      </c>
    </row>
    <row r="27" spans="1:8">
      <c r="A27" s="8" t="s">
        <v>17</v>
      </c>
      <c r="B27" s="34" t="s">
        <v>99</v>
      </c>
      <c r="C27" s="49">
        <v>43842</v>
      </c>
      <c r="D27" s="51" t="s">
        <v>100</v>
      </c>
      <c r="E27" s="10">
        <f>102.75*125</f>
        <v>12843.75</v>
      </c>
      <c r="F27" s="9" t="s">
        <v>74</v>
      </c>
      <c r="G27" s="9" t="str">
        <f>IF(IFERROR(VLOOKUP(D27,Payments!G:G,1,FALSE),"UNPAID")=D27,"yes","no")</f>
        <v>yes</v>
      </c>
    </row>
    <row r="28" spans="1:8">
      <c r="A28" s="8" t="s">
        <v>17</v>
      </c>
      <c r="B28" s="34" t="s">
        <v>99</v>
      </c>
      <c r="C28" s="49">
        <v>43857</v>
      </c>
      <c r="D28" s="51" t="s">
        <v>101</v>
      </c>
      <c r="E28" s="10">
        <v>55817.78</v>
      </c>
      <c r="F28" s="9" t="s">
        <v>72</v>
      </c>
      <c r="G28" s="9" t="str">
        <f>IF(IFERROR(VLOOKUP(D28,Payments!G:G,1,FALSE),"UNPAID")=D28,"yes","no")</f>
        <v>yes</v>
      </c>
      <c r="H28" s="17">
        <v>3545.22</v>
      </c>
    </row>
    <row r="29" spans="1:8">
      <c r="A29" s="8" t="s">
        <v>17</v>
      </c>
      <c r="B29" s="34" t="s">
        <v>20</v>
      </c>
      <c r="C29" s="49">
        <v>43857</v>
      </c>
      <c r="D29" s="51" t="s">
        <v>102</v>
      </c>
      <c r="E29" s="10">
        <f>6.25*125</f>
        <v>781.25</v>
      </c>
      <c r="F29" s="9" t="s">
        <v>74</v>
      </c>
      <c r="G29" s="9" t="str">
        <f>IF(IFERROR(VLOOKUP(D29,Payments!G:G,1,FALSE),"UNPAID")=D29,"yes","no")</f>
        <v>yes</v>
      </c>
    </row>
    <row r="30" spans="1:8">
      <c r="A30" s="8" t="s">
        <v>17</v>
      </c>
      <c r="B30" s="35" t="s">
        <v>21</v>
      </c>
      <c r="C30" s="49">
        <v>43842</v>
      </c>
      <c r="D30" s="51" t="s">
        <v>103</v>
      </c>
      <c r="E30" s="10">
        <v>24283.56</v>
      </c>
      <c r="F30" s="9" t="s">
        <v>72</v>
      </c>
      <c r="G30" s="9" t="str">
        <f>IF(IFERROR(VLOOKUP(D30,Payments!G:G,1,FALSE),"UNPAID")=D30,"yes","no")</f>
        <v>yes</v>
      </c>
      <c r="H30" s="17">
        <v>2771.52</v>
      </c>
    </row>
    <row r="31" spans="1:8">
      <c r="A31" s="8" t="s">
        <v>17</v>
      </c>
      <c r="B31" s="35" t="s">
        <v>21</v>
      </c>
      <c r="C31" s="49">
        <v>43842</v>
      </c>
      <c r="D31" s="51" t="s">
        <v>104</v>
      </c>
      <c r="E31" s="10">
        <f>64.5*125</f>
        <v>8062.5</v>
      </c>
      <c r="F31" s="9" t="s">
        <v>74</v>
      </c>
      <c r="G31" s="9" t="str">
        <f>IF(IFERROR(VLOOKUP(D31,Payments!G:G,1,FALSE),"UNPAID")=D31,"yes","no")</f>
        <v>yes</v>
      </c>
    </row>
    <row r="32" spans="1:8">
      <c r="A32" s="8" t="s">
        <v>17</v>
      </c>
      <c r="B32" s="35" t="s">
        <v>21</v>
      </c>
      <c r="C32" s="49">
        <v>43857</v>
      </c>
      <c r="D32" s="51" t="s">
        <v>105</v>
      </c>
      <c r="E32" s="10">
        <v>23999.360000000001</v>
      </c>
      <c r="F32" s="9" t="s">
        <v>72</v>
      </c>
      <c r="G32" s="9" t="str">
        <f>IF(IFERROR(VLOOKUP(D32,Payments!G:G,1,FALSE),"UNPAID")=D32,"yes","no")</f>
        <v>yes</v>
      </c>
      <c r="H32" s="17">
        <v>1531.08</v>
      </c>
    </row>
    <row r="33" spans="1:9">
      <c r="A33" s="8" t="s">
        <v>17</v>
      </c>
      <c r="B33" s="35" t="s">
        <v>22</v>
      </c>
      <c r="C33" s="49">
        <v>43857</v>
      </c>
      <c r="D33" s="51" t="s">
        <v>106</v>
      </c>
      <c r="E33" s="10">
        <v>7486.31</v>
      </c>
      <c r="F33" s="9" t="s">
        <v>72</v>
      </c>
      <c r="G33" s="9" t="str">
        <f>IF(IFERROR(VLOOKUP(D33,Payments!G:G,1,FALSE),"UNPAID")=D33,"yes","no")</f>
        <v>yes</v>
      </c>
    </row>
    <row r="34" spans="1:9">
      <c r="A34" s="8" t="s">
        <v>17</v>
      </c>
      <c r="B34" s="35" t="s">
        <v>22</v>
      </c>
      <c r="C34" s="49">
        <v>43857</v>
      </c>
      <c r="D34" s="51" t="s">
        <v>107</v>
      </c>
      <c r="E34" s="16">
        <f>282*125</f>
        <v>35250</v>
      </c>
      <c r="F34" s="9" t="s">
        <v>74</v>
      </c>
      <c r="G34" s="9" t="str">
        <f>IF(IFERROR(VLOOKUP(D34,Payments!G:G,1,FALSE),"UNPAID")=D34,"yes","no")</f>
        <v>yes</v>
      </c>
    </row>
    <row r="35" spans="1:9">
      <c r="A35" s="8" t="s">
        <v>17</v>
      </c>
      <c r="B35" s="35" t="s">
        <v>22</v>
      </c>
      <c r="C35" s="49">
        <v>43857</v>
      </c>
      <c r="D35" s="31" t="s">
        <v>108</v>
      </c>
      <c r="E35" s="10">
        <v>5325.6</v>
      </c>
      <c r="F35" s="9" t="s">
        <v>109</v>
      </c>
      <c r="G35" s="9" t="str">
        <f>IF(IFERROR(VLOOKUP(D35,Payments!G:G,1,FALSE),"UNPAID")=D35,"yes","no")</f>
        <v>no</v>
      </c>
    </row>
    <row r="36" spans="1:9">
      <c r="A36" s="8" t="s">
        <v>17</v>
      </c>
      <c r="B36" s="35" t="s">
        <v>23</v>
      </c>
      <c r="C36" s="49">
        <v>43857</v>
      </c>
      <c r="D36" s="51" t="s">
        <v>110</v>
      </c>
      <c r="E36" s="10">
        <v>5346.48</v>
      </c>
      <c r="F36" s="9" t="s">
        <v>72</v>
      </c>
      <c r="G36" s="9" t="str">
        <f>IF(IFERROR(VLOOKUP(D36,Payments!G:G,1,FALSE),"UNPAID")=D36,"yes","no")</f>
        <v>yes</v>
      </c>
    </row>
    <row r="37" spans="1:9">
      <c r="A37" s="8" t="s">
        <v>17</v>
      </c>
      <c r="B37" s="35" t="s">
        <v>23</v>
      </c>
      <c r="C37" s="49">
        <v>43857</v>
      </c>
      <c r="D37" s="51" t="s">
        <v>111</v>
      </c>
      <c r="E37" s="10">
        <v>3676</v>
      </c>
      <c r="F37" s="9" t="s">
        <v>109</v>
      </c>
      <c r="G37" s="9" t="str">
        <f>IF(IFERROR(VLOOKUP(D37,Payments!G:G,1,FALSE),"UNPAID")=D37,"yes","no")</f>
        <v>no</v>
      </c>
    </row>
    <row r="38" spans="1:9">
      <c r="A38" s="8" t="s">
        <v>17</v>
      </c>
      <c r="B38" s="34" t="s">
        <v>24</v>
      </c>
      <c r="C38" s="49">
        <v>43857</v>
      </c>
      <c r="D38" s="51" t="s">
        <v>112</v>
      </c>
      <c r="E38" s="10">
        <f>1.5*125</f>
        <v>187.5</v>
      </c>
      <c r="F38" s="9" t="s">
        <v>74</v>
      </c>
      <c r="G38" s="9" t="str">
        <f>IF(IFERROR(VLOOKUP(D38,Payments!G:G,1,FALSE),"UNPAID")=D38,"yes","no")</f>
        <v>no</v>
      </c>
    </row>
    <row r="39" spans="1:9">
      <c r="A39" s="8" t="s">
        <v>17</v>
      </c>
      <c r="B39" s="34" t="s">
        <v>25</v>
      </c>
      <c r="C39" s="49">
        <v>43857</v>
      </c>
      <c r="D39" s="51" t="s">
        <v>113</v>
      </c>
      <c r="E39" s="10">
        <f>2*125</f>
        <v>250</v>
      </c>
      <c r="F39" s="9" t="s">
        <v>74</v>
      </c>
      <c r="G39" s="9" t="str">
        <f>IF(IFERROR(VLOOKUP(D39,Payments!G:G,1,FALSE),"UNPAID")=D39,"yes","no")</f>
        <v>no</v>
      </c>
    </row>
    <row r="40" spans="1:9">
      <c r="A40" s="8" t="s">
        <v>17</v>
      </c>
      <c r="B40" s="34" t="s">
        <v>26</v>
      </c>
      <c r="C40" s="49">
        <v>43857</v>
      </c>
      <c r="D40" s="51" t="s">
        <v>114</v>
      </c>
      <c r="E40" s="10">
        <f>4.5*150</f>
        <v>675</v>
      </c>
      <c r="F40" s="9" t="s">
        <v>74</v>
      </c>
      <c r="G40" s="9" t="str">
        <f>IF(IFERROR(VLOOKUP(D40,Payments!G:G,1,FALSE),"UNPAID")=D40,"yes","no")</f>
        <v>yes</v>
      </c>
    </row>
    <row r="41" spans="1:9">
      <c r="B41" s="22" t="s">
        <v>27</v>
      </c>
      <c r="C41" s="49">
        <v>43857</v>
      </c>
      <c r="D41" s="51" t="s">
        <v>115</v>
      </c>
      <c r="E41" s="47">
        <f>1*200</f>
        <v>200</v>
      </c>
      <c r="F41" s="9" t="s">
        <v>74</v>
      </c>
      <c r="G41" s="9" t="str">
        <f>IF(IFERROR(VLOOKUP(D41,Payments!G:G,1,FALSE),"UNPAID")=D41,"yes","no")</f>
        <v>no</v>
      </c>
    </row>
    <row r="42" spans="1:9">
      <c r="B42" s="34" t="s">
        <v>31</v>
      </c>
      <c r="C42" s="49">
        <v>43857</v>
      </c>
      <c r="D42" s="51" t="s">
        <v>116</v>
      </c>
      <c r="E42" s="10">
        <v>3640.31</v>
      </c>
      <c r="F42" s="9" t="s">
        <v>72</v>
      </c>
      <c r="G42" s="9" t="str">
        <f>IF(IFERROR(VLOOKUP(D42,Payments!G:G,1,FALSE),"UNPAID")=D42,"yes","no")</f>
        <v>yes</v>
      </c>
      <c r="H42" s="17">
        <v>37.03</v>
      </c>
    </row>
    <row r="43" spans="1:9">
      <c r="B43" s="34" t="s">
        <v>31</v>
      </c>
      <c r="C43" s="49">
        <v>43857</v>
      </c>
      <c r="D43" s="51" t="s">
        <v>117</v>
      </c>
      <c r="E43" s="10">
        <f>2.25*110</f>
        <v>247.5</v>
      </c>
      <c r="F43" s="9" t="s">
        <v>74</v>
      </c>
      <c r="G43" s="9" t="str">
        <f>IF(IFERROR(VLOOKUP(D43,Payments!G:G,1,FALSE),"UNPAID")=D43,"yes","no")</f>
        <v>yes</v>
      </c>
    </row>
    <row r="44" spans="1:9">
      <c r="B44" s="34" t="s">
        <v>32</v>
      </c>
      <c r="C44" s="49">
        <v>43857</v>
      </c>
      <c r="D44" s="51" t="s">
        <v>118</v>
      </c>
      <c r="E44" s="10">
        <v>2146.7399999999998</v>
      </c>
      <c r="F44" s="9" t="s">
        <v>72</v>
      </c>
      <c r="G44" s="9" t="str">
        <f>IF(IFERROR(VLOOKUP(D44,Payments!G:G,1,FALSE),"UNPAID")=D44,"yes","no")</f>
        <v>yes</v>
      </c>
      <c r="H44" s="17">
        <v>133.11000000000001</v>
      </c>
    </row>
    <row r="45" spans="1:9">
      <c r="B45" s="34" t="s">
        <v>119</v>
      </c>
      <c r="C45" s="49">
        <v>43842</v>
      </c>
      <c r="D45" s="51" t="s">
        <v>120</v>
      </c>
      <c r="E45" s="10">
        <v>14823.6</v>
      </c>
      <c r="F45" s="9" t="s">
        <v>72</v>
      </c>
      <c r="G45" s="9" t="str">
        <f>IF(IFERROR(VLOOKUP(D45,Payments!G:G,1,FALSE),"UNPAID")=D45,"yes","no")</f>
        <v>yes</v>
      </c>
      <c r="H45" s="17">
        <v>1672.75</v>
      </c>
    </row>
    <row r="46" spans="1:9">
      <c r="B46" s="34" t="s">
        <v>119</v>
      </c>
      <c r="C46" s="49">
        <v>43857</v>
      </c>
      <c r="D46" s="51" t="s">
        <v>121</v>
      </c>
      <c r="E46" s="10">
        <v>15171.25</v>
      </c>
      <c r="F46" s="9" t="s">
        <v>72</v>
      </c>
      <c r="G46" s="9" t="str">
        <f>IF(IFERROR(VLOOKUP(D46,Payments!G:G,1,FALSE),"UNPAID")=D46,"yes","no")</f>
        <v>no</v>
      </c>
      <c r="H46" s="17">
        <v>2778.2</v>
      </c>
    </row>
    <row r="47" spans="1:9">
      <c r="B47" s="34" t="s">
        <v>37</v>
      </c>
      <c r="C47" s="49">
        <v>43857</v>
      </c>
      <c r="D47" s="51" t="s">
        <v>122</v>
      </c>
      <c r="E47" s="10">
        <v>43094.05</v>
      </c>
      <c r="F47" s="9" t="s">
        <v>72</v>
      </c>
      <c r="G47" s="9" t="str">
        <f>IF(IFERROR(VLOOKUP(D47,Payments!G:G,1,FALSE),"UNPAID")=D47,"yes","no")</f>
        <v>yes</v>
      </c>
      <c r="H47" s="17">
        <v>2778.2</v>
      </c>
      <c r="I47" t="s">
        <v>123</v>
      </c>
    </row>
    <row r="48" spans="1:9">
      <c r="B48" s="34" t="s">
        <v>124</v>
      </c>
      <c r="C48" s="49">
        <v>43857</v>
      </c>
      <c r="D48" s="51" t="s">
        <v>125</v>
      </c>
      <c r="E48" s="10">
        <f>73.75*150</f>
        <v>11062.5</v>
      </c>
      <c r="F48" s="9" t="s">
        <v>74</v>
      </c>
      <c r="G48" s="9" t="str">
        <f>IF(IFERROR(VLOOKUP(D48,Payments!G:G,1,FALSE),"UNPAID")=D48,"yes","no")</f>
        <v>yes</v>
      </c>
    </row>
    <row r="49" spans="2:8">
      <c r="B49" s="34" t="s">
        <v>39</v>
      </c>
      <c r="C49" s="49">
        <v>43857</v>
      </c>
      <c r="D49" s="51" t="s">
        <v>126</v>
      </c>
      <c r="E49" s="10">
        <v>7821.56</v>
      </c>
      <c r="F49" s="9" t="s">
        <v>72</v>
      </c>
      <c r="G49" s="9" t="str">
        <f>IF(IFERROR(VLOOKUP(D49,Payments!G:G,1,FALSE),"UNPAID")=D49,"yes","no")</f>
        <v>yes</v>
      </c>
      <c r="H49" s="17">
        <v>117</v>
      </c>
    </row>
    <row r="50" spans="2:8">
      <c r="B50" s="34" t="s">
        <v>39</v>
      </c>
      <c r="C50" s="49">
        <v>43857</v>
      </c>
      <c r="D50" s="51" t="s">
        <v>127</v>
      </c>
      <c r="E50" s="10">
        <v>500</v>
      </c>
      <c r="F50" s="9" t="s">
        <v>74</v>
      </c>
      <c r="G50" s="9" t="str">
        <f>IF(IFERROR(VLOOKUP(D50,Payments!G:G,1,FALSE),"UNPAID")=D50,"yes","no")</f>
        <v>yes</v>
      </c>
    </row>
    <row r="51" spans="2:8">
      <c r="B51" s="34" t="s">
        <v>40</v>
      </c>
      <c r="C51" s="49">
        <v>43857</v>
      </c>
      <c r="D51" s="51" t="s">
        <v>128</v>
      </c>
      <c r="E51" s="10">
        <v>749.63</v>
      </c>
      <c r="F51" s="9" t="s">
        <v>72</v>
      </c>
      <c r="G51" s="9" t="str">
        <f>IF(IFERROR(VLOOKUP(D51,Payments!G:G,1,FALSE),"UNPAID")=D51,"yes","no")</f>
        <v>yes</v>
      </c>
      <c r="H51" s="17">
        <v>194.85</v>
      </c>
    </row>
    <row r="52" spans="2:8">
      <c r="B52" s="34" t="s">
        <v>41</v>
      </c>
      <c r="C52" s="49">
        <v>43857</v>
      </c>
      <c r="D52" s="51" t="s">
        <v>129</v>
      </c>
      <c r="E52" s="10">
        <v>3432</v>
      </c>
      <c r="F52" s="9" t="s">
        <v>72</v>
      </c>
      <c r="G52" s="9" t="str">
        <f>IF(IFERROR(VLOOKUP(D52,Payments!G:G,1,FALSE),"UNPAID")=D52,"yes","no")</f>
        <v>yes</v>
      </c>
    </row>
    <row r="53" spans="2:8">
      <c r="B53" s="34" t="s">
        <v>41</v>
      </c>
      <c r="C53" s="49">
        <v>43857</v>
      </c>
      <c r="D53" s="51" t="s">
        <v>130</v>
      </c>
      <c r="E53" s="10">
        <v>500</v>
      </c>
      <c r="F53" s="9" t="s">
        <v>74</v>
      </c>
      <c r="G53" s="9" t="str">
        <f>IF(IFERROR(VLOOKUP(D53,Payments!G:G,1,FALSE),"UNPAID")=D53,"yes","no")</f>
        <v>yes</v>
      </c>
    </row>
    <row r="54" spans="2:8">
      <c r="B54" s="34" t="s">
        <v>131</v>
      </c>
      <c r="C54" s="49">
        <v>43857</v>
      </c>
      <c r="D54" s="51" t="s">
        <v>132</v>
      </c>
      <c r="E54" s="10">
        <v>20517.84</v>
      </c>
      <c r="F54" s="9" t="s">
        <v>72</v>
      </c>
      <c r="G54" s="9" t="str">
        <f>IF(IFERROR(VLOOKUP(D54,Payments!G:G,1,FALSE),"UNPAID")=D54,"yes","no")</f>
        <v>yes</v>
      </c>
      <c r="H54" s="17">
        <v>1967.75</v>
      </c>
    </row>
    <row r="55" spans="2:8">
      <c r="B55" s="34" t="s">
        <v>131</v>
      </c>
      <c r="C55" s="49">
        <v>43857</v>
      </c>
      <c r="D55" s="51" t="s">
        <v>133</v>
      </c>
      <c r="E55" s="10">
        <v>20833.330000000002</v>
      </c>
      <c r="F55" s="9" t="s">
        <v>74</v>
      </c>
      <c r="G55" s="9" t="str">
        <f>IF(IFERROR(VLOOKUP(D55,Payments!G:G,1,FALSE),"UNPAID")=D55,"yes","no")</f>
        <v>yes</v>
      </c>
    </row>
    <row r="56" spans="2:8">
      <c r="B56" s="34" t="s">
        <v>52</v>
      </c>
      <c r="C56" s="49">
        <v>43857</v>
      </c>
      <c r="D56" s="51" t="s">
        <v>134</v>
      </c>
      <c r="E56" s="10">
        <v>815.4</v>
      </c>
      <c r="F56" s="9" t="s">
        <v>135</v>
      </c>
      <c r="G56" s="9" t="str">
        <f>IF(IFERROR(VLOOKUP(D56,Payments!G:G,1,FALSE),"UNPAID")=D56,"yes","no")</f>
        <v>yes</v>
      </c>
    </row>
    <row r="57" spans="2:8">
      <c r="B57" s="34" t="s">
        <v>52</v>
      </c>
      <c r="C57" s="49">
        <v>43857</v>
      </c>
      <c r="D57" s="51" t="s">
        <v>136</v>
      </c>
      <c r="E57" s="10">
        <v>220.05</v>
      </c>
      <c r="F57" s="9" t="s">
        <v>74</v>
      </c>
      <c r="G57" s="9" t="str">
        <f>IF(IFERROR(VLOOKUP(D57,Payments!G:G,1,FALSE),"UNPAID")=D57,"yes","no")</f>
        <v>yes</v>
      </c>
      <c r="H57" s="21"/>
    </row>
    <row r="58" spans="2:8">
      <c r="B58" s="34" t="s">
        <v>53</v>
      </c>
      <c r="C58" s="49">
        <v>43857</v>
      </c>
      <c r="D58" s="51" t="s">
        <v>137</v>
      </c>
      <c r="E58" s="10">
        <v>1015</v>
      </c>
      <c r="F58" s="9" t="s">
        <v>135</v>
      </c>
      <c r="G58" s="9" t="str">
        <f>IF(IFERROR(VLOOKUP(D58,Payments!G:G,1,FALSE),"UNPAID")=D58,"yes","no")</f>
        <v>yes</v>
      </c>
    </row>
    <row r="59" spans="2:8">
      <c r="B59" s="34" t="s">
        <v>54</v>
      </c>
      <c r="C59" s="49">
        <v>43857</v>
      </c>
      <c r="D59" s="51" t="s">
        <v>138</v>
      </c>
      <c r="E59" s="10">
        <v>403</v>
      </c>
      <c r="F59" s="9" t="s">
        <v>135</v>
      </c>
      <c r="G59" s="9" t="str">
        <f>IF(IFERROR(VLOOKUP(D59,Payments!G:G,1,FALSE),"UNPAID")=D59,"yes","no")</f>
        <v>yes</v>
      </c>
    </row>
    <row r="60" spans="2:8">
      <c r="B60" s="34" t="s">
        <v>55</v>
      </c>
      <c r="C60" s="49">
        <v>43857</v>
      </c>
      <c r="D60" s="51" t="s">
        <v>139</v>
      </c>
      <c r="E60" s="10">
        <v>70</v>
      </c>
      <c r="F60" s="9" t="s">
        <v>135</v>
      </c>
      <c r="G60" s="9" t="str">
        <f>IF(IFERROR(VLOOKUP(D60,Payments!G:G,1,FALSE),"UNPAID")=D60,"yes","no")</f>
        <v>yes</v>
      </c>
    </row>
    <row r="61" spans="2:8">
      <c r="B61" s="34" t="s">
        <v>140</v>
      </c>
      <c r="C61" s="49">
        <v>43857</v>
      </c>
      <c r="D61" s="51" t="s">
        <v>141</v>
      </c>
      <c r="E61" s="10">
        <v>350</v>
      </c>
      <c r="F61" s="9" t="s">
        <v>135</v>
      </c>
      <c r="G61" s="9" t="str">
        <f>IF(IFERROR(VLOOKUP(D61,Payments!G:G,1,FALSE),"UNPAID")=D61,"yes","no")</f>
        <v>yes</v>
      </c>
    </row>
    <row r="62" spans="2:8">
      <c r="B62" s="34" t="s">
        <v>59</v>
      </c>
      <c r="C62" s="49">
        <v>43857</v>
      </c>
      <c r="D62" s="51" t="s">
        <v>142</v>
      </c>
      <c r="E62" s="10">
        <v>1060.4000000000001</v>
      </c>
      <c r="F62" s="9" t="s">
        <v>135</v>
      </c>
      <c r="G62" s="9" t="str">
        <f>IF(IFERROR(VLOOKUP(D62,Payments!G:G,1,FALSE),"UNPAID")=D62,"yes","no")</f>
        <v>yes</v>
      </c>
    </row>
    <row r="63" spans="2:8">
      <c r="B63" s="34" t="s">
        <v>60</v>
      </c>
      <c r="C63" s="49">
        <v>43857</v>
      </c>
      <c r="D63" s="51" t="s">
        <v>143</v>
      </c>
      <c r="E63" s="10">
        <v>798</v>
      </c>
      <c r="F63" s="9" t="s">
        <v>135</v>
      </c>
      <c r="G63" s="9" t="str">
        <f>IF(IFERROR(VLOOKUP(D63,Payments!G:G,1,FALSE),"UNPAID")=D63,"yes","no")</f>
        <v>yes</v>
      </c>
    </row>
    <row r="64" spans="2:8">
      <c r="B64" s="34" t="s">
        <v>62</v>
      </c>
      <c r="C64" s="49">
        <v>43857</v>
      </c>
      <c r="D64" s="51" t="s">
        <v>144</v>
      </c>
      <c r="E64" s="10">
        <v>180.15</v>
      </c>
      <c r="F64" s="9" t="s">
        <v>135</v>
      </c>
      <c r="G64" s="9" t="str">
        <f>IF(IFERROR(VLOOKUP(D64,Payments!G:G,1,FALSE),"UNPAID")=D64,"yes","no")</f>
        <v>yes</v>
      </c>
    </row>
    <row r="65" spans="1:8">
      <c r="B65" s="34" t="s">
        <v>63</v>
      </c>
      <c r="C65" s="49">
        <v>43857</v>
      </c>
      <c r="D65" s="51" t="s">
        <v>145</v>
      </c>
      <c r="E65" s="10">
        <v>455</v>
      </c>
      <c r="F65" s="9" t="s">
        <v>135</v>
      </c>
      <c r="G65" s="9" t="str">
        <f>IF(IFERROR(VLOOKUP(D65,Payments!G:G,1,FALSE),"UNPAID")=D65,"yes","no")</f>
        <v>yes</v>
      </c>
    </row>
    <row r="66" spans="1:8">
      <c r="A66" s="8" t="s">
        <v>70</v>
      </c>
      <c r="B66" s="34" t="s">
        <v>6</v>
      </c>
      <c r="C66" s="49">
        <v>43873</v>
      </c>
      <c r="D66" s="51" t="s">
        <v>146</v>
      </c>
      <c r="E66" s="10">
        <v>38992.15</v>
      </c>
      <c r="F66" s="9" t="s">
        <v>72</v>
      </c>
      <c r="G66" s="9" t="str">
        <f>IF(IFERROR(VLOOKUP(D66,Payments!G:G,1,FALSE),"UNPAID")=D66,"yes","no")</f>
        <v>yes</v>
      </c>
      <c r="H66" s="17">
        <v>2688.23</v>
      </c>
    </row>
    <row r="67" spans="1:8">
      <c r="A67" s="8" t="s">
        <v>70</v>
      </c>
      <c r="B67" s="34" t="s">
        <v>6</v>
      </c>
      <c r="C67" s="49">
        <v>43873</v>
      </c>
      <c r="D67" s="51" t="s">
        <v>147</v>
      </c>
      <c r="E67" s="10">
        <f>148.25*110</f>
        <v>16307.5</v>
      </c>
      <c r="F67" s="9" t="s">
        <v>74</v>
      </c>
      <c r="G67" s="9" t="str">
        <f>IF(IFERROR(VLOOKUP(D67,Payments!G:G,1,FALSE),"UNPAID")=D67,"yes","no")</f>
        <v>yes</v>
      </c>
    </row>
    <row r="68" spans="1:8">
      <c r="A68" s="8" t="s">
        <v>70</v>
      </c>
      <c r="B68" s="34" t="s">
        <v>6</v>
      </c>
      <c r="C68" s="49">
        <v>43888</v>
      </c>
      <c r="D68" s="51" t="s">
        <v>148</v>
      </c>
      <c r="E68" s="10">
        <v>39597.019999999997</v>
      </c>
      <c r="F68" s="9" t="s">
        <v>72</v>
      </c>
      <c r="G68" s="9" t="str">
        <f>IF(IFERROR(VLOOKUP(D68,Payments!G:G,1,FALSE),"UNPAID")=D68,"yes","no")</f>
        <v>yes</v>
      </c>
      <c r="H68" s="17">
        <v>3633.49</v>
      </c>
    </row>
    <row r="69" spans="1:8">
      <c r="A69" s="8" t="s">
        <v>70</v>
      </c>
      <c r="B69" s="34" t="s">
        <v>7</v>
      </c>
      <c r="C69" s="49">
        <v>43873</v>
      </c>
      <c r="D69" s="51" t="s">
        <v>149</v>
      </c>
      <c r="E69" s="10">
        <v>28735.81</v>
      </c>
      <c r="F69" s="9" t="s">
        <v>72</v>
      </c>
      <c r="G69" s="9" t="str">
        <f>IF(IFERROR(VLOOKUP(D69,Payments!G:G,1,FALSE),"UNPAID")=D69,"yes","no")</f>
        <v>yes</v>
      </c>
      <c r="H69" s="17">
        <v>1646.47</v>
      </c>
    </row>
    <row r="70" spans="1:8">
      <c r="A70" s="8" t="s">
        <v>70</v>
      </c>
      <c r="B70" s="34" t="s">
        <v>7</v>
      </c>
      <c r="C70" s="49">
        <v>43873</v>
      </c>
      <c r="D70" s="51" t="s">
        <v>150</v>
      </c>
      <c r="E70" s="10">
        <f>87.5*110</f>
        <v>9625</v>
      </c>
      <c r="F70" s="9" t="s">
        <v>74</v>
      </c>
      <c r="G70" s="9" t="str">
        <f>IF(IFERROR(VLOOKUP(D70,Payments!G:G,1,FALSE),"UNPAID")=D70,"yes","no")</f>
        <v>yes</v>
      </c>
    </row>
    <row r="71" spans="1:8">
      <c r="A71" s="8" t="s">
        <v>70</v>
      </c>
      <c r="B71" s="34" t="s">
        <v>7</v>
      </c>
      <c r="C71" s="49">
        <v>43888</v>
      </c>
      <c r="D71" s="51" t="s">
        <v>151</v>
      </c>
      <c r="E71" s="10">
        <v>20472.79</v>
      </c>
      <c r="F71" s="9" t="s">
        <v>72</v>
      </c>
      <c r="G71" s="9" t="str">
        <f>IF(IFERROR(VLOOKUP(D71,Payments!G:G,1,FALSE),"UNPAID")=D71,"yes","no")</f>
        <v>yes</v>
      </c>
      <c r="H71" s="17">
        <v>1687.02</v>
      </c>
    </row>
    <row r="72" spans="1:8">
      <c r="A72" s="8" t="s">
        <v>70</v>
      </c>
      <c r="B72" s="34" t="s">
        <v>8</v>
      </c>
      <c r="C72" s="49">
        <v>43888</v>
      </c>
      <c r="D72" s="51" t="s">
        <v>152</v>
      </c>
      <c r="E72" s="10">
        <v>9001.42</v>
      </c>
      <c r="F72" s="9" t="s">
        <v>72</v>
      </c>
      <c r="G72" s="9" t="str">
        <f>IF(IFERROR(VLOOKUP(D72,Payments!G:G,1,FALSE),"UNPAID")=D72,"yes","no")</f>
        <v>yes</v>
      </c>
      <c r="H72" s="17">
        <v>1063.8800000000001</v>
      </c>
    </row>
    <row r="73" spans="1:8">
      <c r="A73" s="8" t="s">
        <v>70</v>
      </c>
      <c r="B73" s="34" t="s">
        <v>8</v>
      </c>
      <c r="C73" s="49">
        <v>43888</v>
      </c>
      <c r="D73" s="51" t="s">
        <v>153</v>
      </c>
      <c r="E73" s="10">
        <f>17*110</f>
        <v>1870</v>
      </c>
      <c r="F73" s="9" t="s">
        <v>74</v>
      </c>
      <c r="G73" s="9" t="str">
        <f>IF(IFERROR(VLOOKUP(D73,Payments!G:G,1,FALSE),"UNPAID")=D73,"yes","no")</f>
        <v>yes</v>
      </c>
    </row>
    <row r="74" spans="1:8">
      <c r="A74" s="8" t="s">
        <v>70</v>
      </c>
      <c r="B74" s="34" t="s">
        <v>9</v>
      </c>
      <c r="C74" s="49">
        <v>43888</v>
      </c>
      <c r="D74" s="51" t="s">
        <v>154</v>
      </c>
      <c r="E74" s="10">
        <v>2684.07</v>
      </c>
      <c r="F74" s="9" t="s">
        <v>72</v>
      </c>
      <c r="G74" s="9" t="str">
        <f>IF(IFERROR(VLOOKUP(D74,Payments!G:G,1,FALSE),"UNPAID")=D74,"yes","no")</f>
        <v>yes</v>
      </c>
      <c r="H74" s="17">
        <v>96.08</v>
      </c>
    </row>
    <row r="75" spans="1:8">
      <c r="A75" s="8" t="s">
        <v>70</v>
      </c>
      <c r="B75" s="34" t="s">
        <v>9</v>
      </c>
      <c r="C75" s="49">
        <v>43888</v>
      </c>
      <c r="D75" s="51" t="s">
        <v>155</v>
      </c>
      <c r="E75" s="10">
        <f>3*110</f>
        <v>330</v>
      </c>
      <c r="F75" s="9" t="s">
        <v>74</v>
      </c>
      <c r="G75" s="9" t="str">
        <f>IF(IFERROR(VLOOKUP(D75,Payments!G:G,1,FALSE),"UNPAID")=D75,"yes","no")</f>
        <v>yes</v>
      </c>
    </row>
    <row r="76" spans="1:8">
      <c r="A76" s="8" t="s">
        <v>70</v>
      </c>
      <c r="B76" s="34" t="s">
        <v>10</v>
      </c>
      <c r="C76" s="49">
        <v>43888</v>
      </c>
      <c r="D76" s="51" t="s">
        <v>156</v>
      </c>
      <c r="E76" s="10">
        <v>1430.89</v>
      </c>
      <c r="F76" s="9" t="s">
        <v>72</v>
      </c>
      <c r="G76" s="9" t="str">
        <f>IF(IFERROR(VLOOKUP(D76,Payments!G:G,1,FALSE),"UNPAID")=D76,"yes","no")</f>
        <v>yes</v>
      </c>
      <c r="H76" s="17">
        <v>326.26</v>
      </c>
    </row>
    <row r="77" spans="1:8">
      <c r="A77" s="8" t="s">
        <v>70</v>
      </c>
      <c r="B77" s="34" t="s">
        <v>10</v>
      </c>
      <c r="C77" s="49">
        <v>43888</v>
      </c>
      <c r="D77" s="51" t="s">
        <v>157</v>
      </c>
      <c r="E77" s="10">
        <f>9.5*110</f>
        <v>1045</v>
      </c>
      <c r="F77" s="9" t="s">
        <v>74</v>
      </c>
      <c r="G77" s="9" t="str">
        <f>IF(IFERROR(VLOOKUP(D77,Payments!G:G,1,FALSE),"UNPAID")=D77,"yes","no")</f>
        <v>yes</v>
      </c>
    </row>
    <row r="78" spans="1:8">
      <c r="A78" s="8" t="s">
        <v>70</v>
      </c>
      <c r="B78" s="34" t="s">
        <v>11</v>
      </c>
      <c r="C78" s="49">
        <v>43888</v>
      </c>
      <c r="D78" s="51" t="s">
        <v>158</v>
      </c>
      <c r="E78" s="10">
        <v>8580.4</v>
      </c>
      <c r="F78" s="9" t="s">
        <v>72</v>
      </c>
      <c r="G78" s="9" t="str">
        <f>IF(IFERROR(VLOOKUP(D78,Payments!G:G,1,FALSE),"UNPAID")=D78,"yes","no")</f>
        <v>yes</v>
      </c>
      <c r="H78" s="17">
        <v>298.58999999999997</v>
      </c>
    </row>
    <row r="79" spans="1:8">
      <c r="A79" s="8" t="s">
        <v>70</v>
      </c>
      <c r="B79" s="34" t="s">
        <v>11</v>
      </c>
      <c r="C79" s="49">
        <v>43888</v>
      </c>
      <c r="D79" s="51" t="s">
        <v>159</v>
      </c>
      <c r="E79" s="10">
        <f>3.5*110</f>
        <v>385</v>
      </c>
      <c r="F79" s="9" t="s">
        <v>74</v>
      </c>
      <c r="G79" s="9" t="str">
        <f>IF(IFERROR(VLOOKUP(D79,Payments!G:G,1,FALSE),"UNPAID")=D79,"yes","no")</f>
        <v>yes</v>
      </c>
    </row>
    <row r="80" spans="1:8">
      <c r="A80" s="8" t="s">
        <v>70</v>
      </c>
      <c r="B80" s="34" t="s">
        <v>12</v>
      </c>
      <c r="C80" s="49">
        <v>43888</v>
      </c>
      <c r="D80" s="51" t="s">
        <v>160</v>
      </c>
      <c r="E80" s="10">
        <v>1596.31</v>
      </c>
      <c r="F80" s="9" t="s">
        <v>72</v>
      </c>
      <c r="G80" s="9" t="str">
        <f>IF(IFERROR(VLOOKUP(D80,Payments!G:G,1,FALSE),"UNPAID")=D80,"yes","no")</f>
        <v>yes</v>
      </c>
      <c r="H80" s="17">
        <v>59.05</v>
      </c>
    </row>
    <row r="81" spans="1:8">
      <c r="A81" s="8" t="s">
        <v>70</v>
      </c>
      <c r="B81" s="34" t="s">
        <v>12</v>
      </c>
      <c r="C81" s="49">
        <v>43888</v>
      </c>
      <c r="D81" s="51" t="s">
        <v>161</v>
      </c>
      <c r="E81" s="10">
        <f>7.25*110</f>
        <v>797.5</v>
      </c>
      <c r="F81" s="9" t="s">
        <v>74</v>
      </c>
      <c r="G81" s="9" t="str">
        <f>IF(IFERROR(VLOOKUP(D81,Payments!G:G,1,FALSE),"UNPAID")=D81,"yes","no")</f>
        <v>yes</v>
      </c>
      <c r="H81" s="17"/>
    </row>
    <row r="82" spans="1:8">
      <c r="A82" s="8" t="s">
        <v>70</v>
      </c>
      <c r="B82" s="34" t="s">
        <v>13</v>
      </c>
      <c r="C82" s="49">
        <v>43888</v>
      </c>
      <c r="D82" s="51" t="s">
        <v>162</v>
      </c>
      <c r="E82" s="3">
        <v>100</v>
      </c>
      <c r="F82" s="9" t="s">
        <v>74</v>
      </c>
      <c r="G82" s="9" t="str">
        <f>IF(IFERROR(VLOOKUP(D82,Payments!G:G,1,FALSE),"UNPAID")=D82,"yes","no")</f>
        <v>yes</v>
      </c>
      <c r="H82" s="24">
        <v>50</v>
      </c>
    </row>
    <row r="83" spans="1:8">
      <c r="A83" s="8" t="s">
        <v>70</v>
      </c>
      <c r="B83" s="34" t="s">
        <v>14</v>
      </c>
      <c r="C83" s="49">
        <v>43888</v>
      </c>
      <c r="D83" s="51" t="s">
        <v>163</v>
      </c>
      <c r="E83" s="10">
        <v>1678.48</v>
      </c>
      <c r="F83" s="9" t="s">
        <v>72</v>
      </c>
      <c r="G83" s="9" t="str">
        <f>IF(IFERROR(VLOOKUP(D83,Payments!G:G,1,FALSE),"UNPAID")=D83,"yes","no")</f>
        <v>yes</v>
      </c>
    </row>
    <row r="84" spans="1:8">
      <c r="A84" s="8" t="s">
        <v>70</v>
      </c>
      <c r="B84" s="34" t="s">
        <v>14</v>
      </c>
      <c r="C84" s="49">
        <v>43888</v>
      </c>
      <c r="D84" s="51" t="s">
        <v>164</v>
      </c>
      <c r="E84" s="10">
        <f>1*110</f>
        <v>110</v>
      </c>
      <c r="F84" s="9" t="s">
        <v>74</v>
      </c>
      <c r="G84" s="9" t="str">
        <f>IF(IFERROR(VLOOKUP(D84,Payments!G:G,1,FALSE),"UNPAID")=D84,"yes","no")</f>
        <v>yes</v>
      </c>
    </row>
    <row r="85" spans="1:8">
      <c r="A85" s="8" t="s">
        <v>70</v>
      </c>
      <c r="B85" s="34" t="s">
        <v>15</v>
      </c>
      <c r="C85" s="49">
        <v>43888</v>
      </c>
      <c r="D85" s="4" t="s">
        <v>165</v>
      </c>
      <c r="E85" s="10">
        <f>3*110</f>
        <v>330</v>
      </c>
      <c r="F85" s="9" t="s">
        <v>74</v>
      </c>
      <c r="G85" s="9" t="str">
        <f>IF(IFERROR(VLOOKUP(D85,Payments!G:G,1,FALSE),"UNPAID")=D85,"yes","no")</f>
        <v>yes</v>
      </c>
    </row>
    <row r="86" spans="1:8">
      <c r="A86" s="8" t="s">
        <v>70</v>
      </c>
      <c r="B86" s="34" t="s">
        <v>16</v>
      </c>
      <c r="C86" s="49">
        <v>43888</v>
      </c>
      <c r="D86" s="51" t="s">
        <v>166</v>
      </c>
      <c r="E86" s="10">
        <v>895.39</v>
      </c>
      <c r="F86" s="9" t="s">
        <v>72</v>
      </c>
      <c r="G86" s="9" t="str">
        <f>IF(IFERROR(VLOOKUP(D86,Payments!G:G,1,FALSE),"UNPAID")=D86,"yes","no")</f>
        <v>yes</v>
      </c>
    </row>
    <row r="87" spans="1:8">
      <c r="A87" s="8" t="s">
        <v>17</v>
      </c>
      <c r="B87" s="34" t="s">
        <v>18</v>
      </c>
      <c r="C87" s="49">
        <v>43873</v>
      </c>
      <c r="D87" s="51" t="s">
        <v>167</v>
      </c>
      <c r="E87" s="10">
        <v>55375.77</v>
      </c>
      <c r="F87" s="9" t="s">
        <v>72</v>
      </c>
      <c r="G87" s="9" t="str">
        <f>IF(IFERROR(VLOOKUP(D87,Payments!G:G,1,FALSE),"UNPAID")=D87,"yes","no")</f>
        <v>yes</v>
      </c>
      <c r="H87" s="17">
        <v>4808.74</v>
      </c>
    </row>
    <row r="88" spans="1:8">
      <c r="A88" s="8" t="s">
        <v>17</v>
      </c>
      <c r="B88" s="34" t="s">
        <v>18</v>
      </c>
      <c r="C88" s="49">
        <v>43873</v>
      </c>
      <c r="D88" s="51" t="s">
        <v>168</v>
      </c>
      <c r="E88" s="10">
        <f>231.25*125</f>
        <v>28906.25</v>
      </c>
      <c r="F88" s="9" t="s">
        <v>74</v>
      </c>
      <c r="G88" s="9" t="str">
        <f>IF(IFERROR(VLOOKUP(D88,Payments!G:G,1,FALSE),"UNPAID")=D88,"yes","no")</f>
        <v>yes</v>
      </c>
    </row>
    <row r="89" spans="1:8">
      <c r="A89" s="8" t="s">
        <v>17</v>
      </c>
      <c r="B89" s="34" t="s">
        <v>18</v>
      </c>
      <c r="C89" s="49">
        <v>43888</v>
      </c>
      <c r="D89" s="51" t="s">
        <v>169</v>
      </c>
      <c r="E89" s="10">
        <v>52362.63</v>
      </c>
      <c r="F89" s="9" t="s">
        <v>72</v>
      </c>
      <c r="G89" s="9" t="str">
        <f>IF(IFERROR(VLOOKUP(D89,Payments!G:G,1,FALSE),"UNPAID")=D89,"yes","no")</f>
        <v>yes</v>
      </c>
      <c r="H89" s="17">
        <v>8593.6</v>
      </c>
    </row>
    <row r="90" spans="1:8">
      <c r="A90" s="8" t="s">
        <v>17</v>
      </c>
      <c r="B90" s="34" t="s">
        <v>19</v>
      </c>
      <c r="C90" s="49">
        <v>43873</v>
      </c>
      <c r="D90" s="51" t="s">
        <v>170</v>
      </c>
      <c r="E90" s="10">
        <v>62017.69</v>
      </c>
      <c r="F90" s="9" t="s">
        <v>72</v>
      </c>
      <c r="G90" s="9" t="str">
        <f>IF(IFERROR(VLOOKUP(D90,Payments!G:G,1,FALSE),"UNPAID")=D90,"yes","no")</f>
        <v>yes</v>
      </c>
      <c r="H90" s="17">
        <v>2853.7</v>
      </c>
    </row>
    <row r="91" spans="1:8">
      <c r="A91" s="8" t="s">
        <v>17</v>
      </c>
      <c r="B91" s="34" t="s">
        <v>99</v>
      </c>
      <c r="C91" s="49">
        <v>43873</v>
      </c>
      <c r="D91" s="51" t="s">
        <v>171</v>
      </c>
      <c r="E91" s="10">
        <f>93.5*125</f>
        <v>11687.5</v>
      </c>
      <c r="F91" s="9" t="s">
        <v>74</v>
      </c>
      <c r="G91" s="9" t="str">
        <f>IF(IFERROR(VLOOKUP(D91,Payments!G:G,1,FALSE),"UNPAID")=D91,"yes","no")</f>
        <v>yes</v>
      </c>
    </row>
    <row r="92" spans="1:8">
      <c r="A92" s="8" t="s">
        <v>17</v>
      </c>
      <c r="B92" s="34" t="s">
        <v>99</v>
      </c>
      <c r="C92" s="49">
        <v>43888</v>
      </c>
      <c r="D92" s="51" t="s">
        <v>172</v>
      </c>
      <c r="E92" s="10">
        <v>47066.97</v>
      </c>
      <c r="F92" s="9" t="s">
        <v>72</v>
      </c>
      <c r="G92" s="9" t="str">
        <f>IF(IFERROR(VLOOKUP(D92,Payments!G:G,1,FALSE),"UNPAID")=D92,"yes","no")</f>
        <v>yes</v>
      </c>
      <c r="H92" s="17">
        <v>2455.66</v>
      </c>
    </row>
    <row r="93" spans="1:8">
      <c r="A93" s="8" t="s">
        <v>17</v>
      </c>
      <c r="B93" s="34" t="s">
        <v>20</v>
      </c>
      <c r="C93" s="49">
        <v>43888</v>
      </c>
      <c r="D93" s="51" t="s">
        <v>173</v>
      </c>
      <c r="E93" s="10">
        <f>9*125</f>
        <v>1125</v>
      </c>
      <c r="F93" s="9" t="s">
        <v>74</v>
      </c>
      <c r="G93" s="9" t="str">
        <f>IF(IFERROR(VLOOKUP(D93,Payments!G:G,1,FALSE),"UNPAID")=D93,"yes","no")</f>
        <v>yes</v>
      </c>
    </row>
    <row r="94" spans="1:8">
      <c r="A94" s="8" t="s">
        <v>17</v>
      </c>
      <c r="B94" s="35" t="s">
        <v>21</v>
      </c>
      <c r="C94" s="49">
        <v>43873</v>
      </c>
      <c r="D94" s="51" t="s">
        <v>174</v>
      </c>
      <c r="E94" s="10">
        <v>30338.17</v>
      </c>
      <c r="F94" s="9" t="s">
        <v>72</v>
      </c>
      <c r="G94" s="9" t="str">
        <f>IF(IFERROR(VLOOKUP(D94,Payments!G:G,1,FALSE),"UNPAID")=D94,"yes","no")</f>
        <v>yes</v>
      </c>
      <c r="H94" s="17">
        <v>1558.84</v>
      </c>
    </row>
    <row r="95" spans="1:8">
      <c r="A95" s="8" t="s">
        <v>17</v>
      </c>
      <c r="B95" s="35" t="s">
        <v>21</v>
      </c>
      <c r="C95" s="49">
        <v>43873</v>
      </c>
      <c r="D95" s="51" t="s">
        <v>175</v>
      </c>
      <c r="E95" s="10">
        <f>9*125</f>
        <v>1125</v>
      </c>
      <c r="F95" s="9" t="s">
        <v>74</v>
      </c>
      <c r="G95" s="9" t="str">
        <f>IF(IFERROR(VLOOKUP(D95,Payments!G:G,1,FALSE),"UNPAID")=D95,"yes","no")</f>
        <v>yes</v>
      </c>
    </row>
    <row r="96" spans="1:8">
      <c r="A96" s="8" t="s">
        <v>17</v>
      </c>
      <c r="B96" s="35" t="s">
        <v>21</v>
      </c>
      <c r="C96" s="49">
        <v>43888</v>
      </c>
      <c r="D96" s="51" t="s">
        <v>176</v>
      </c>
      <c r="E96" s="18">
        <v>25907.77</v>
      </c>
      <c r="F96" s="9" t="s">
        <v>72</v>
      </c>
      <c r="G96" s="9" t="str">
        <f>IF(IFERROR(VLOOKUP(D96,Payments!G:G,1,FALSE),"UNPAID")=D96,"yes","no")</f>
        <v>yes</v>
      </c>
      <c r="H96" s="17">
        <v>1530.48</v>
      </c>
    </row>
    <row r="97" spans="1:8">
      <c r="A97" s="8" t="s">
        <v>17</v>
      </c>
      <c r="B97" s="35" t="s">
        <v>22</v>
      </c>
      <c r="C97" s="49">
        <v>43888</v>
      </c>
      <c r="D97" s="51" t="s">
        <v>177</v>
      </c>
      <c r="E97" s="10">
        <v>7486.41</v>
      </c>
      <c r="F97" s="9" t="s">
        <v>72</v>
      </c>
      <c r="G97" s="9" t="str">
        <f>IF(IFERROR(VLOOKUP(D97,Payments!G:G,1,FALSE),"UNPAID")=D97,"yes","no")</f>
        <v>yes</v>
      </c>
    </row>
    <row r="98" spans="1:8">
      <c r="A98" s="8" t="s">
        <v>17</v>
      </c>
      <c r="B98" s="35" t="s">
        <v>22</v>
      </c>
      <c r="C98" s="49">
        <v>43888</v>
      </c>
      <c r="D98" s="51" t="s">
        <v>178</v>
      </c>
      <c r="E98" s="10">
        <f>289.75*125</f>
        <v>36218.75</v>
      </c>
      <c r="F98" s="9" t="s">
        <v>74</v>
      </c>
      <c r="G98" s="9" t="str">
        <f>IF(IFERROR(VLOOKUP(D98,Payments!G:G,1,FALSE),"UNPAID")=D98,"yes","no")</f>
        <v>yes</v>
      </c>
    </row>
    <row r="99" spans="1:8">
      <c r="A99" s="8" t="s">
        <v>17</v>
      </c>
      <c r="B99" s="35" t="s">
        <v>22</v>
      </c>
      <c r="C99" s="49">
        <v>43888</v>
      </c>
      <c r="D99" s="51" t="s">
        <v>179</v>
      </c>
      <c r="E99" s="10">
        <v>4956.8</v>
      </c>
      <c r="F99" s="9" t="s">
        <v>109</v>
      </c>
      <c r="G99" s="9" t="str">
        <f>IF(IFERROR(VLOOKUP(D99,Payments!G:G,1,FALSE),"UNPAID")=D99,"yes","no")</f>
        <v>no</v>
      </c>
    </row>
    <row r="100" spans="1:8">
      <c r="A100" s="8" t="s">
        <v>17</v>
      </c>
      <c r="B100" s="35" t="s">
        <v>23</v>
      </c>
      <c r="C100" s="49">
        <v>43888</v>
      </c>
      <c r="D100" s="51" t="s">
        <v>180</v>
      </c>
      <c r="E100" s="10">
        <v>4804.43</v>
      </c>
      <c r="F100" s="9" t="s">
        <v>72</v>
      </c>
      <c r="G100" s="9" t="str">
        <f>IF(IFERROR(VLOOKUP(D100,Payments!G:G,1,FALSE),"UNPAID")=D100,"yes","no")</f>
        <v>yes</v>
      </c>
    </row>
    <row r="101" spans="1:8">
      <c r="A101" s="8" t="s">
        <v>17</v>
      </c>
      <c r="B101" s="35" t="s">
        <v>23</v>
      </c>
      <c r="C101" s="49">
        <v>43888</v>
      </c>
      <c r="D101" s="51" t="s">
        <v>181</v>
      </c>
      <c r="E101" s="10">
        <v>3191.2</v>
      </c>
      <c r="F101" s="9" t="s">
        <v>109</v>
      </c>
      <c r="G101" s="9" t="str">
        <f>IF(IFERROR(VLOOKUP(D101,Payments!G:G,1,FALSE),"UNPAID")=D101,"yes","no")</f>
        <v>no</v>
      </c>
    </row>
    <row r="102" spans="1:8">
      <c r="A102" s="8" t="s">
        <v>17</v>
      </c>
      <c r="B102" s="34" t="s">
        <v>24</v>
      </c>
      <c r="C102" s="49">
        <v>43888</v>
      </c>
      <c r="D102" s="51" t="s">
        <v>182</v>
      </c>
      <c r="E102" s="10">
        <f>1*125</f>
        <v>125</v>
      </c>
      <c r="F102" s="9" t="s">
        <v>74</v>
      </c>
      <c r="G102" s="9" t="str">
        <f>IF(IFERROR(VLOOKUP(D102,Payments!G:G,1,FALSE),"UNPAID")=D102,"yes","no")</f>
        <v>yes</v>
      </c>
    </row>
    <row r="103" spans="1:8">
      <c r="A103" s="8" t="s">
        <v>17</v>
      </c>
      <c r="B103" s="34" t="s">
        <v>25</v>
      </c>
      <c r="C103" s="49">
        <v>43888</v>
      </c>
      <c r="D103" s="51" t="s">
        <v>183</v>
      </c>
      <c r="E103" s="10">
        <f>1.75*125</f>
        <v>218.75</v>
      </c>
      <c r="F103" s="9" t="s">
        <v>74</v>
      </c>
      <c r="G103" s="9" t="str">
        <f>IF(IFERROR(VLOOKUP(D103,Payments!G:G,1,FALSE),"UNPAID")=D103,"yes","no")</f>
        <v>yes</v>
      </c>
    </row>
    <row r="104" spans="1:8">
      <c r="A104" s="8" t="s">
        <v>17</v>
      </c>
      <c r="B104" s="34" t="s">
        <v>26</v>
      </c>
      <c r="C104" s="49">
        <v>43888</v>
      </c>
      <c r="D104" s="51" t="s">
        <v>184</v>
      </c>
      <c r="E104" s="10">
        <f>3*150</f>
        <v>450</v>
      </c>
      <c r="F104" s="9" t="s">
        <v>74</v>
      </c>
      <c r="G104" s="9" t="str">
        <f>IF(IFERROR(VLOOKUP(D104,Payments!G:G,1,FALSE),"UNPAID")=D104,"yes","no")</f>
        <v>yes</v>
      </c>
    </row>
    <row r="105" spans="1:8">
      <c r="B105" s="34" t="s">
        <v>27</v>
      </c>
      <c r="C105" s="49">
        <v>43888</v>
      </c>
      <c r="D105" s="51" t="s">
        <v>185</v>
      </c>
      <c r="E105" s="10">
        <f>1*200</f>
        <v>200</v>
      </c>
      <c r="F105" s="9" t="s">
        <v>74</v>
      </c>
      <c r="G105" s="9" t="str">
        <f>IF(IFERROR(VLOOKUP(D105,Payments!G:G,1,FALSE),"UNPAID")=D105,"yes","no")</f>
        <v>no</v>
      </c>
    </row>
    <row r="106" spans="1:8">
      <c r="B106" s="34" t="s">
        <v>28</v>
      </c>
      <c r="C106" s="49">
        <v>43888</v>
      </c>
      <c r="D106" s="51" t="s">
        <v>186</v>
      </c>
      <c r="E106" s="10">
        <f>1*200</f>
        <v>200</v>
      </c>
      <c r="F106" s="9" t="s">
        <v>74</v>
      </c>
      <c r="G106" s="9" t="str">
        <f>IF(IFERROR(VLOOKUP(D106,Payments!G:G,1,FALSE),"UNPAID")=D106,"yes","no")</f>
        <v>yes</v>
      </c>
    </row>
    <row r="107" spans="1:8">
      <c r="B107" s="34" t="s">
        <v>29</v>
      </c>
      <c r="C107" s="49">
        <v>43888</v>
      </c>
      <c r="D107" s="51" t="s">
        <v>187</v>
      </c>
      <c r="E107" s="10">
        <f>1*200</f>
        <v>200</v>
      </c>
      <c r="F107" s="9" t="s">
        <v>74</v>
      </c>
      <c r="G107" s="9" t="str">
        <f>IF(IFERROR(VLOOKUP(D107,Payments!G:G,1,FALSE),"UNPAID")=D107,"yes","no")</f>
        <v>yes</v>
      </c>
    </row>
    <row r="108" spans="1:8">
      <c r="B108" s="34" t="s">
        <v>30</v>
      </c>
      <c r="C108" s="49">
        <v>43888</v>
      </c>
      <c r="D108" s="51" t="s">
        <v>188</v>
      </c>
      <c r="E108" s="10">
        <f>1*200</f>
        <v>200</v>
      </c>
      <c r="F108" s="9" t="s">
        <v>74</v>
      </c>
      <c r="G108" s="9" t="str">
        <f>IF(IFERROR(VLOOKUP(D108,Payments!G:G,1,FALSE),"UNPAID")=D108,"yes","no")</f>
        <v>yes</v>
      </c>
    </row>
    <row r="109" spans="1:8">
      <c r="B109" s="34" t="s">
        <v>31</v>
      </c>
      <c r="C109" s="49">
        <v>43888</v>
      </c>
      <c r="D109" s="51" t="s">
        <v>189</v>
      </c>
      <c r="E109" s="10">
        <v>3594.56</v>
      </c>
      <c r="F109" s="9" t="s">
        <v>72</v>
      </c>
      <c r="G109" s="9" t="str">
        <f>IF(IFERROR(VLOOKUP(D109,Payments!G:G,1,FALSE),"UNPAID")=D109,"yes","no")</f>
        <v>yes</v>
      </c>
      <c r="H109" s="17">
        <v>329.82</v>
      </c>
    </row>
    <row r="110" spans="1:8">
      <c r="B110" s="34" t="s">
        <v>31</v>
      </c>
      <c r="C110" s="49">
        <v>43888</v>
      </c>
      <c r="D110" s="51" t="s">
        <v>190</v>
      </c>
      <c r="E110" s="3">
        <f>3.25*110</f>
        <v>357.5</v>
      </c>
      <c r="F110" s="9" t="s">
        <v>74</v>
      </c>
      <c r="G110" s="9" t="str">
        <f>IF(IFERROR(VLOOKUP(D110,Payments!G:G,1,FALSE),"UNPAID")=D110,"yes","no")</f>
        <v>yes</v>
      </c>
      <c r="H110" s="17"/>
    </row>
    <row r="111" spans="1:8">
      <c r="B111" s="34" t="s">
        <v>32</v>
      </c>
      <c r="C111" s="49">
        <v>43888</v>
      </c>
      <c r="D111" s="51" t="s">
        <v>191</v>
      </c>
      <c r="E111" s="10">
        <v>4948.87</v>
      </c>
      <c r="F111" s="9" t="s">
        <v>72</v>
      </c>
      <c r="G111" s="9" t="str">
        <f>IF(IFERROR(VLOOKUP(D111,Payments!G:G,1,FALSE),"UNPAID")=D111,"yes","no")</f>
        <v>yes</v>
      </c>
      <c r="H111" s="17">
        <v>795.94</v>
      </c>
    </row>
    <row r="112" spans="1:8">
      <c r="B112" s="34" t="s">
        <v>119</v>
      </c>
      <c r="C112" s="49">
        <v>43873</v>
      </c>
      <c r="D112" s="51" t="s">
        <v>192</v>
      </c>
      <c r="E112" s="10">
        <v>20723.75</v>
      </c>
      <c r="F112" s="9" t="s">
        <v>72</v>
      </c>
      <c r="G112" s="9" t="str">
        <f>IF(IFERROR(VLOOKUP(D112,Payments!G:G,1,FALSE),"UNPAID")=D112,"yes","no")</f>
        <v>no</v>
      </c>
      <c r="H112" s="17">
        <v>2133.5</v>
      </c>
    </row>
    <row r="113" spans="2:8">
      <c r="B113" s="34" t="s">
        <v>119</v>
      </c>
      <c r="C113" s="49">
        <v>43888</v>
      </c>
      <c r="D113" s="51" t="s">
        <v>193</v>
      </c>
      <c r="E113" s="10">
        <v>22137.33</v>
      </c>
      <c r="F113" s="9" t="s">
        <v>72</v>
      </c>
      <c r="G113" s="9" t="str">
        <f>IF(IFERROR(VLOOKUP(D113,Payments!G:G,1,FALSE),"UNPAID")=D113,"yes","no")</f>
        <v>yes</v>
      </c>
      <c r="H113" s="17">
        <v>2246.98</v>
      </c>
    </row>
    <row r="114" spans="2:8">
      <c r="B114" s="34" t="s">
        <v>37</v>
      </c>
      <c r="C114" s="49">
        <v>43888</v>
      </c>
      <c r="D114" s="51" t="s">
        <v>194</v>
      </c>
      <c r="E114" s="10">
        <v>49267.23</v>
      </c>
      <c r="F114" s="9" t="s">
        <v>72</v>
      </c>
      <c r="G114" s="9" t="str">
        <f>IF(IFERROR(VLOOKUP(D114,Payments!G:G,1,FALSE),"UNPAID")=D114,"yes","no")</f>
        <v>yes</v>
      </c>
      <c r="H114" s="17">
        <v>4329.33</v>
      </c>
    </row>
    <row r="115" spans="2:8">
      <c r="B115" s="34" t="s">
        <v>124</v>
      </c>
      <c r="C115" s="49">
        <v>43888</v>
      </c>
      <c r="D115" s="51" t="s">
        <v>195</v>
      </c>
      <c r="E115" s="10">
        <f>76.25*150</f>
        <v>11437.5</v>
      </c>
      <c r="F115" s="9" t="s">
        <v>74</v>
      </c>
      <c r="G115" s="9" t="str">
        <f>IF(IFERROR(VLOOKUP(D115,Payments!G:G,1,FALSE),"UNPAID")=D115,"yes","no")</f>
        <v>yes</v>
      </c>
    </row>
    <row r="116" spans="2:8">
      <c r="B116" s="34" t="s">
        <v>39</v>
      </c>
      <c r="C116" s="49">
        <v>43888</v>
      </c>
      <c r="D116" s="51" t="s">
        <v>196</v>
      </c>
      <c r="E116" s="10">
        <v>6232.24</v>
      </c>
      <c r="F116" s="9" t="s">
        <v>72</v>
      </c>
      <c r="G116" s="9" t="str">
        <f>IF(IFERROR(VLOOKUP(D116,Payments!G:G,1,FALSE),"UNPAID")=D116,"yes","no")</f>
        <v>no</v>
      </c>
      <c r="H116" s="17">
        <v>116</v>
      </c>
    </row>
    <row r="117" spans="2:8">
      <c r="B117" s="34" t="s">
        <v>39</v>
      </c>
      <c r="C117" s="49">
        <v>43888</v>
      </c>
      <c r="D117" s="51" t="s">
        <v>197</v>
      </c>
      <c r="E117" s="10">
        <v>500</v>
      </c>
      <c r="F117" s="9" t="s">
        <v>74</v>
      </c>
      <c r="G117" s="9" t="str">
        <f>IF(IFERROR(VLOOKUP(D117,Payments!G:G,1,FALSE),"UNPAID")=D117,"yes","no")</f>
        <v>yes</v>
      </c>
    </row>
    <row r="118" spans="2:8">
      <c r="B118" s="34" t="s">
        <v>40</v>
      </c>
      <c r="C118" s="49">
        <v>43888</v>
      </c>
      <c r="D118" s="51" t="s">
        <v>198</v>
      </c>
      <c r="E118" s="10">
        <v>1941.22</v>
      </c>
      <c r="F118" s="9" t="s">
        <v>72</v>
      </c>
      <c r="G118" s="9" t="str">
        <f>IF(IFERROR(VLOOKUP(D118,Payments!G:G,1,FALSE),"UNPAID")=D118,"yes","no")</f>
        <v>yes</v>
      </c>
      <c r="H118" s="17">
        <v>101.13</v>
      </c>
    </row>
    <row r="119" spans="2:8">
      <c r="B119" s="34" t="s">
        <v>41</v>
      </c>
      <c r="C119" s="49">
        <v>43888</v>
      </c>
      <c r="D119" s="51" t="s">
        <v>199</v>
      </c>
      <c r="E119" s="10">
        <v>4117.5600000000004</v>
      </c>
      <c r="F119" s="9" t="s">
        <v>72</v>
      </c>
      <c r="G119" s="9" t="str">
        <f>IF(IFERROR(VLOOKUP(D119,Payments!G:G,1,FALSE),"UNPAID")=D119,"yes","no")</f>
        <v>yes</v>
      </c>
      <c r="H119" s="17">
        <v>212</v>
      </c>
    </row>
    <row r="120" spans="2:8">
      <c r="B120" s="34" t="s">
        <v>41</v>
      </c>
      <c r="C120" s="49">
        <v>43888</v>
      </c>
      <c r="D120" s="51" t="s">
        <v>200</v>
      </c>
      <c r="E120" s="10">
        <v>500</v>
      </c>
      <c r="F120" s="9" t="s">
        <v>74</v>
      </c>
      <c r="G120" s="9" t="str">
        <f>IF(IFERROR(VLOOKUP(D120,Payments!G:G,1,FALSE),"UNPAID")=D120,"yes","no")</f>
        <v>yes</v>
      </c>
      <c r="H120" s="17"/>
    </row>
    <row r="121" spans="2:8">
      <c r="B121" s="34" t="s">
        <v>131</v>
      </c>
      <c r="C121" s="49">
        <v>43888</v>
      </c>
      <c r="D121" s="51" t="s">
        <v>201</v>
      </c>
      <c r="E121" s="10">
        <v>21055.23</v>
      </c>
      <c r="F121" s="9" t="s">
        <v>72</v>
      </c>
      <c r="G121" s="9" t="str">
        <f>IF(IFERROR(VLOOKUP(D121,Payments!G:G,1,FALSE),"UNPAID")=D121,"yes","no")</f>
        <v>yes</v>
      </c>
      <c r="H121" s="17">
        <v>1647.62</v>
      </c>
    </row>
    <row r="122" spans="2:8">
      <c r="B122" s="34" t="s">
        <v>131</v>
      </c>
      <c r="C122" s="49">
        <v>43888</v>
      </c>
      <c r="D122" s="51" t="s">
        <v>202</v>
      </c>
      <c r="E122" s="10">
        <v>20833.330000000002</v>
      </c>
      <c r="F122" s="9" t="s">
        <v>74</v>
      </c>
      <c r="G122" s="9" t="str">
        <f>IF(IFERROR(VLOOKUP(D122,Payments!G:G,1,FALSE),"UNPAID")=D122,"yes","no")</f>
        <v>no</v>
      </c>
      <c r="H122" s="17"/>
    </row>
    <row r="123" spans="2:8">
      <c r="B123" s="34" t="s">
        <v>52</v>
      </c>
      <c r="C123" s="49">
        <v>43888</v>
      </c>
      <c r="D123" s="51" t="s">
        <v>203</v>
      </c>
      <c r="E123" s="10">
        <v>1080.5</v>
      </c>
      <c r="F123" s="9" t="s">
        <v>204</v>
      </c>
      <c r="G123" s="9" t="str">
        <f>IF(IFERROR(VLOOKUP(D123,Payments!G:G,1,FALSE),"UNPAID")=D123,"yes","no")</f>
        <v>yes</v>
      </c>
    </row>
    <row r="124" spans="2:8">
      <c r="B124" s="34" t="s">
        <v>53</v>
      </c>
      <c r="C124" s="49">
        <v>43888</v>
      </c>
      <c r="D124" s="51" t="s">
        <v>205</v>
      </c>
      <c r="E124" s="10">
        <v>1750</v>
      </c>
      <c r="F124" s="9" t="s">
        <v>204</v>
      </c>
      <c r="G124" s="9" t="str">
        <f>IF(IFERROR(VLOOKUP(D124,Payments!G:G,1,FALSE),"UNPAID")=D124,"yes","no")</f>
        <v>yes</v>
      </c>
    </row>
    <row r="125" spans="2:8">
      <c r="B125" s="34" t="s">
        <v>54</v>
      </c>
      <c r="C125" s="49">
        <v>43888</v>
      </c>
      <c r="D125" s="51" t="s">
        <v>206</v>
      </c>
      <c r="E125" s="10">
        <v>105</v>
      </c>
      <c r="F125" s="9" t="s">
        <v>204</v>
      </c>
      <c r="G125" s="9" t="str">
        <f>IF(IFERROR(VLOOKUP(D125,Payments!G:G,1,FALSE),"UNPAID")=D125,"yes","no")</f>
        <v>yes</v>
      </c>
    </row>
    <row r="126" spans="2:8">
      <c r="B126" s="34" t="s">
        <v>55</v>
      </c>
      <c r="C126" s="49">
        <v>43888</v>
      </c>
      <c r="D126" s="51" t="s">
        <v>207</v>
      </c>
      <c r="E126" s="10">
        <v>35</v>
      </c>
      <c r="F126" s="9" t="s">
        <v>204</v>
      </c>
      <c r="G126" s="9" t="str">
        <f>IF(IFERROR(VLOOKUP(D126,Payments!G:G,1,FALSE),"UNPAID")=D126,"yes","no")</f>
        <v>yes</v>
      </c>
    </row>
    <row r="127" spans="2:8">
      <c r="B127" s="34" t="s">
        <v>56</v>
      </c>
      <c r="C127" s="49">
        <v>43888</v>
      </c>
      <c r="D127" s="51" t="s">
        <v>208</v>
      </c>
      <c r="E127" s="10">
        <v>60.05</v>
      </c>
      <c r="F127" s="9" t="s">
        <v>204</v>
      </c>
      <c r="G127" s="9" t="str">
        <f>IF(IFERROR(VLOOKUP(D127,Payments!G:G,1,FALSE),"UNPAID")=D127,"yes","no")</f>
        <v>yes</v>
      </c>
    </row>
    <row r="128" spans="2:8">
      <c r="B128" s="34" t="s">
        <v>140</v>
      </c>
      <c r="C128" s="49">
        <v>43888</v>
      </c>
      <c r="D128" s="51" t="s">
        <v>209</v>
      </c>
      <c r="E128" s="10">
        <v>403</v>
      </c>
      <c r="F128" s="9" t="s">
        <v>204</v>
      </c>
      <c r="G128" s="9" t="str">
        <f>IF(IFERROR(VLOOKUP(D128,Payments!G:G,1,FALSE),"UNPAID")=D128,"yes","no")</f>
        <v>yes</v>
      </c>
    </row>
    <row r="129" spans="1:8">
      <c r="B129" s="34" t="s">
        <v>58</v>
      </c>
      <c r="C129" s="49">
        <v>43888</v>
      </c>
      <c r="D129" s="51" t="s">
        <v>210</v>
      </c>
      <c r="E129" s="10">
        <v>50</v>
      </c>
      <c r="F129" s="9" t="s">
        <v>204</v>
      </c>
      <c r="G129" s="9" t="str">
        <f>IF(IFERROR(VLOOKUP(D129,Payments!G:G,1,FALSE),"UNPAID")=D129,"yes","no")</f>
        <v>yes</v>
      </c>
    </row>
    <row r="130" spans="1:8">
      <c r="B130" s="34" t="s">
        <v>59</v>
      </c>
      <c r="C130" s="49">
        <v>43888</v>
      </c>
      <c r="D130" s="51" t="s">
        <v>211</v>
      </c>
      <c r="E130" s="10">
        <v>834.45</v>
      </c>
      <c r="F130" s="9" t="s">
        <v>204</v>
      </c>
      <c r="G130" s="9" t="str">
        <f>IF(IFERROR(VLOOKUP(D130,Payments!G:G,1,FALSE),"UNPAID")=D130,"yes","no")</f>
        <v>yes</v>
      </c>
    </row>
    <row r="131" spans="1:8">
      <c r="B131" s="34" t="s">
        <v>60</v>
      </c>
      <c r="C131" s="49">
        <v>43888</v>
      </c>
      <c r="D131" s="51" t="s">
        <v>212</v>
      </c>
      <c r="E131" s="10">
        <v>1653.09</v>
      </c>
      <c r="F131" s="9" t="s">
        <v>204</v>
      </c>
      <c r="G131" s="9" t="str">
        <f>IF(IFERROR(VLOOKUP(D131,Payments!G:G,1,FALSE),"UNPAID")=D131,"yes","no")</f>
        <v>yes</v>
      </c>
    </row>
    <row r="132" spans="1:8">
      <c r="B132" s="34" t="s">
        <v>62</v>
      </c>
      <c r="C132" s="49">
        <v>43888</v>
      </c>
      <c r="D132" s="51" t="s">
        <v>213</v>
      </c>
      <c r="E132" s="10">
        <v>120.1</v>
      </c>
      <c r="F132" s="9" t="s">
        <v>204</v>
      </c>
      <c r="G132" s="9" t="str">
        <f>IF(IFERROR(VLOOKUP(D132,Payments!G:G,1,FALSE),"UNPAID")=D132,"yes","no")</f>
        <v>yes</v>
      </c>
    </row>
    <row r="133" spans="1:8">
      <c r="B133" s="34" t="s">
        <v>63</v>
      </c>
      <c r="C133" s="49">
        <v>43888</v>
      </c>
      <c r="D133" s="51" t="s">
        <v>214</v>
      </c>
      <c r="E133" s="10">
        <v>350</v>
      </c>
      <c r="F133" s="9" t="s">
        <v>204</v>
      </c>
      <c r="G133" s="9" t="str">
        <f>IF(IFERROR(VLOOKUP(D133,Payments!G:G,1,FALSE),"UNPAID")=D133,"yes","no")</f>
        <v>yes</v>
      </c>
    </row>
    <row r="134" spans="1:8">
      <c r="A134" s="8" t="s">
        <v>70</v>
      </c>
      <c r="B134" s="34" t="s">
        <v>6</v>
      </c>
      <c r="C134" s="49">
        <v>43902</v>
      </c>
      <c r="D134" s="11" t="s">
        <v>215</v>
      </c>
      <c r="E134" s="3">
        <v>42689.77</v>
      </c>
      <c r="F134" s="9" t="s">
        <v>72</v>
      </c>
      <c r="G134" s="9" t="str">
        <f>IF(IFERROR(VLOOKUP(D134,Payments!G:G,1,FALSE),"UNPAID")=D134,"yes","no")</f>
        <v>yes</v>
      </c>
      <c r="H134" s="17">
        <v>4523.62</v>
      </c>
    </row>
    <row r="135" spans="1:8">
      <c r="A135" s="8" t="s">
        <v>70</v>
      </c>
      <c r="B135" s="34" t="s">
        <v>6</v>
      </c>
      <c r="C135" s="49">
        <v>43902</v>
      </c>
      <c r="D135" s="11" t="s">
        <v>216</v>
      </c>
      <c r="E135" s="3">
        <f>159*110</f>
        <v>17490</v>
      </c>
      <c r="F135" s="9" t="s">
        <v>74</v>
      </c>
      <c r="G135" s="9" t="str">
        <f>IF(IFERROR(VLOOKUP(D135,Payments!G:G,1,FALSE),"UNPAID")=D135,"yes","no")</f>
        <v>yes</v>
      </c>
    </row>
    <row r="136" spans="1:8">
      <c r="A136" s="8" t="s">
        <v>70</v>
      </c>
      <c r="B136" s="34" t="s">
        <v>6</v>
      </c>
      <c r="C136" s="49">
        <v>43917</v>
      </c>
      <c r="D136" s="11" t="s">
        <v>217</v>
      </c>
      <c r="E136" s="3">
        <v>27271.17</v>
      </c>
      <c r="F136" s="9" t="s">
        <v>72</v>
      </c>
      <c r="G136" s="9" t="str">
        <f>IF(IFERROR(VLOOKUP(D136,Payments!G:G,1,FALSE),"UNPAID")=D136,"yes","no")</f>
        <v>yes</v>
      </c>
      <c r="H136" s="17">
        <v>4528.87</v>
      </c>
    </row>
    <row r="137" spans="1:8">
      <c r="A137" s="8" t="s">
        <v>70</v>
      </c>
      <c r="B137" s="34" t="s">
        <v>7</v>
      </c>
      <c r="C137" s="49">
        <v>43902</v>
      </c>
      <c r="D137" s="11" t="s">
        <v>218</v>
      </c>
      <c r="E137" s="3">
        <v>21130.19</v>
      </c>
      <c r="F137" s="9" t="s">
        <v>77</v>
      </c>
      <c r="G137" s="9" t="str">
        <f>IF(IFERROR(VLOOKUP(D137,Payments!G:G,1,FALSE),"UNPAID")=D137,"yes","no")</f>
        <v>yes</v>
      </c>
      <c r="H137" s="17">
        <v>1075.57</v>
      </c>
    </row>
    <row r="138" spans="1:8">
      <c r="A138" s="8" t="s">
        <v>70</v>
      </c>
      <c r="B138" s="34" t="s">
        <v>7</v>
      </c>
      <c r="C138" s="49">
        <v>43902</v>
      </c>
      <c r="D138" s="11" t="s">
        <v>219</v>
      </c>
      <c r="E138" s="3">
        <f>99*110</f>
        <v>10890</v>
      </c>
      <c r="F138" s="9" t="s">
        <v>74</v>
      </c>
      <c r="G138" s="9" t="str">
        <f>IF(IFERROR(VLOOKUP(D138,Payments!G:G,1,FALSE),"UNPAID")=D138,"yes","no")</f>
        <v>yes</v>
      </c>
    </row>
    <row r="139" spans="1:8">
      <c r="A139" s="8" t="s">
        <v>70</v>
      </c>
      <c r="B139" s="34" t="s">
        <v>7</v>
      </c>
      <c r="C139" s="49">
        <v>43917</v>
      </c>
      <c r="D139" s="11" t="s">
        <v>220</v>
      </c>
      <c r="E139" s="3">
        <v>12929.53</v>
      </c>
      <c r="F139" s="9" t="s">
        <v>72</v>
      </c>
      <c r="G139" s="9" t="str">
        <f>IF(IFERROR(VLOOKUP(D139,Payments!G:G,1,FALSE),"UNPAID")=D139,"yes","no")</f>
        <v>yes</v>
      </c>
      <c r="H139" s="17">
        <v>770.72</v>
      </c>
    </row>
    <row r="140" spans="1:8">
      <c r="A140" s="8" t="s">
        <v>70</v>
      </c>
      <c r="B140" s="34" t="s">
        <v>8</v>
      </c>
      <c r="C140" s="49">
        <v>43917</v>
      </c>
      <c r="D140" s="12" t="s">
        <v>221</v>
      </c>
      <c r="E140" s="3">
        <v>6166.54</v>
      </c>
      <c r="F140" s="9" t="s">
        <v>77</v>
      </c>
      <c r="G140" s="9" t="str">
        <f>IF(IFERROR(VLOOKUP(D140,Payments!G:G,1,FALSE),"UNPAID")=D140,"yes","no")</f>
        <v>yes</v>
      </c>
      <c r="H140" s="17">
        <v>289.89999999999998</v>
      </c>
    </row>
    <row r="141" spans="1:8">
      <c r="A141" s="8" t="s">
        <v>70</v>
      </c>
      <c r="B141" s="34" t="s">
        <v>8</v>
      </c>
      <c r="C141" s="49">
        <v>43917</v>
      </c>
      <c r="D141" s="12" t="s">
        <v>222</v>
      </c>
      <c r="E141" s="3">
        <f>17.75*110</f>
        <v>1952.5</v>
      </c>
      <c r="F141" s="9" t="s">
        <v>74</v>
      </c>
      <c r="G141" s="9" t="str">
        <f>IF(IFERROR(VLOOKUP(D141,Payments!G:G,1,FALSE),"UNPAID")=D141,"yes","no")</f>
        <v>yes</v>
      </c>
    </row>
    <row r="142" spans="1:8">
      <c r="A142" s="8" t="s">
        <v>70</v>
      </c>
      <c r="B142" s="34" t="s">
        <v>9</v>
      </c>
      <c r="C142" s="49">
        <v>43917</v>
      </c>
      <c r="D142" s="12" t="s">
        <v>223</v>
      </c>
      <c r="E142" s="3">
        <v>2296.56</v>
      </c>
      <c r="F142" s="9" t="s">
        <v>77</v>
      </c>
      <c r="G142" s="9" t="str">
        <f>IF(IFERROR(VLOOKUP(D142,Payments!G:G,1,FALSE),"UNPAID")=D142,"yes","no")</f>
        <v>yes</v>
      </c>
      <c r="H142" s="17">
        <v>157.22</v>
      </c>
    </row>
    <row r="143" spans="1:8">
      <c r="A143" s="8" t="s">
        <v>70</v>
      </c>
      <c r="B143" s="34" t="s">
        <v>9</v>
      </c>
      <c r="C143" s="49">
        <v>43917</v>
      </c>
      <c r="D143" s="12" t="s">
        <v>224</v>
      </c>
      <c r="E143" s="3">
        <f>3.75*110</f>
        <v>412.5</v>
      </c>
      <c r="F143" s="9" t="s">
        <v>74</v>
      </c>
      <c r="G143" s="9" t="str">
        <f>IF(IFERROR(VLOOKUP(D143,Payments!G:G,1,FALSE),"UNPAID")=D143,"yes","no")</f>
        <v>no</v>
      </c>
    </row>
    <row r="144" spans="1:8">
      <c r="A144" s="8" t="s">
        <v>70</v>
      </c>
      <c r="B144" s="34" t="s">
        <v>10</v>
      </c>
      <c r="C144" s="49">
        <v>43917</v>
      </c>
      <c r="D144" s="50" t="s">
        <v>225</v>
      </c>
      <c r="E144" s="3">
        <v>295.52</v>
      </c>
      <c r="F144" s="9" t="s">
        <v>77</v>
      </c>
      <c r="G144" s="9" t="str">
        <f>IF(IFERROR(VLOOKUP(D144,Payments!G:G,1,FALSE),"UNPAID")=D144,"yes","no")</f>
        <v>yes</v>
      </c>
      <c r="H144" s="17">
        <v>29.95</v>
      </c>
    </row>
    <row r="145" spans="1:8">
      <c r="A145" s="8" t="s">
        <v>70</v>
      </c>
      <c r="B145" s="34" t="s">
        <v>10</v>
      </c>
      <c r="C145" s="49">
        <v>43917</v>
      </c>
      <c r="D145" s="50" t="s">
        <v>226</v>
      </c>
      <c r="E145" s="3">
        <f>8.75*110</f>
        <v>962.5</v>
      </c>
      <c r="F145" s="9" t="s">
        <v>74</v>
      </c>
      <c r="G145" s="9" t="str">
        <f>IF(IFERROR(VLOOKUP(D145,Payments!G:G,1,FALSE),"UNPAID")=D145,"yes","no")</f>
        <v>yes</v>
      </c>
    </row>
    <row r="146" spans="1:8">
      <c r="A146" s="8" t="s">
        <v>70</v>
      </c>
      <c r="B146" s="34" t="s">
        <v>11</v>
      </c>
      <c r="C146" s="49">
        <v>43917</v>
      </c>
      <c r="D146" s="51" t="s">
        <v>227</v>
      </c>
      <c r="E146" s="3">
        <v>6132.01</v>
      </c>
      <c r="F146" s="9" t="s">
        <v>72</v>
      </c>
      <c r="G146" s="9" t="str">
        <f>IF(IFERROR(VLOOKUP(D146,Payments!G:G,1,FALSE),"UNPAID")=D146,"yes","no")</f>
        <v>yes</v>
      </c>
      <c r="H146" s="17">
        <v>75.27</v>
      </c>
    </row>
    <row r="147" spans="1:8">
      <c r="A147" s="8" t="s">
        <v>70</v>
      </c>
      <c r="B147" s="34" t="s">
        <v>11</v>
      </c>
      <c r="C147" s="49">
        <v>43917</v>
      </c>
      <c r="D147" s="51" t="s">
        <v>228</v>
      </c>
      <c r="E147" s="3">
        <f>9.5*110</f>
        <v>1045</v>
      </c>
      <c r="F147" s="9" t="s">
        <v>74</v>
      </c>
      <c r="G147" s="9" t="str">
        <f>IF(IFERROR(VLOOKUP(D147,Payments!G:G,1,FALSE),"UNPAID")=D147,"yes","no")</f>
        <v>yes</v>
      </c>
    </row>
    <row r="148" spans="1:8">
      <c r="A148" s="8" t="s">
        <v>70</v>
      </c>
      <c r="B148" s="34" t="s">
        <v>12</v>
      </c>
      <c r="C148" s="49">
        <v>43917</v>
      </c>
      <c r="D148" s="51" t="s">
        <v>229</v>
      </c>
      <c r="E148" s="3">
        <v>720.29</v>
      </c>
      <c r="F148" s="9" t="s">
        <v>72</v>
      </c>
      <c r="G148" s="9" t="str">
        <f>IF(IFERROR(VLOOKUP(D148,Payments!G:G,1,FALSE),"UNPAID")=D148,"yes","no")</f>
        <v>yes</v>
      </c>
      <c r="H148" s="17">
        <v>155.97999999999999</v>
      </c>
    </row>
    <row r="149" spans="1:8">
      <c r="A149" s="8" t="s">
        <v>70</v>
      </c>
      <c r="B149" s="34" t="s">
        <v>12</v>
      </c>
      <c r="C149" s="49">
        <v>43917</v>
      </c>
      <c r="D149" s="51" t="s">
        <v>230</v>
      </c>
      <c r="E149" s="3">
        <f>9*110</f>
        <v>990</v>
      </c>
      <c r="F149" s="9" t="s">
        <v>74</v>
      </c>
      <c r="G149" s="9" t="str">
        <f>IF(IFERROR(VLOOKUP(D149,Payments!G:G,1,FALSE),"UNPAID")=D149,"yes","no")</f>
        <v>yes</v>
      </c>
    </row>
    <row r="150" spans="1:8">
      <c r="A150" s="8" t="s">
        <v>70</v>
      </c>
      <c r="B150" s="34" t="s">
        <v>13</v>
      </c>
      <c r="C150" s="49">
        <v>43917</v>
      </c>
      <c r="D150" s="51" t="s">
        <v>231</v>
      </c>
      <c r="E150" s="3">
        <v>100</v>
      </c>
      <c r="F150" s="9" t="s">
        <v>74</v>
      </c>
      <c r="G150" s="9" t="str">
        <f>IF(IFERROR(VLOOKUP(D150,Payments!G:G,1,FALSE),"UNPAID")=D150,"yes","no")</f>
        <v>yes</v>
      </c>
      <c r="H150" s="17">
        <v>50</v>
      </c>
    </row>
    <row r="151" spans="1:8">
      <c r="A151" s="8" t="s">
        <v>70</v>
      </c>
      <c r="B151" s="34" t="s">
        <v>14</v>
      </c>
      <c r="C151" s="49">
        <v>43917</v>
      </c>
      <c r="D151" s="51" t="s">
        <v>232</v>
      </c>
      <c r="E151" s="3">
        <v>1757.26</v>
      </c>
      <c r="F151" s="9" t="s">
        <v>72</v>
      </c>
      <c r="G151" s="9" t="str">
        <f>IF(IFERROR(VLOOKUP(D151,Payments!G:G,1,FALSE),"UNPAID")=D151,"yes","no")</f>
        <v>yes</v>
      </c>
    </row>
    <row r="152" spans="1:8">
      <c r="A152" s="8" t="s">
        <v>70</v>
      </c>
      <c r="B152" s="34" t="s">
        <v>14</v>
      </c>
      <c r="C152" s="49">
        <v>43917</v>
      </c>
      <c r="D152" s="51" t="s">
        <v>233</v>
      </c>
      <c r="E152" s="3">
        <f>0.5*110</f>
        <v>55</v>
      </c>
      <c r="F152" s="9" t="s">
        <v>74</v>
      </c>
      <c r="G152" s="9" t="str">
        <f>IF(IFERROR(VLOOKUP(D152,Payments!G:G,1,FALSE),"UNPAID")=D152,"yes","no")</f>
        <v>yes</v>
      </c>
    </row>
    <row r="153" spans="1:8">
      <c r="A153" s="8" t="s">
        <v>70</v>
      </c>
      <c r="B153" s="34" t="s">
        <v>14</v>
      </c>
      <c r="C153" s="49">
        <v>43917</v>
      </c>
      <c r="D153" s="51" t="s">
        <v>234</v>
      </c>
      <c r="E153" s="3">
        <v>20.53</v>
      </c>
      <c r="F153" s="9" t="s">
        <v>235</v>
      </c>
      <c r="G153" s="9" t="str">
        <f>IF(IFERROR(VLOOKUP(D153,Payments!G:G,1,FALSE),"UNPAID")=D153,"yes","no")</f>
        <v>yes</v>
      </c>
    </row>
    <row r="154" spans="1:8">
      <c r="A154" s="8" t="s">
        <v>70</v>
      </c>
      <c r="B154" s="34" t="s">
        <v>15</v>
      </c>
      <c r="C154" s="49">
        <v>43917</v>
      </c>
      <c r="D154" s="51" t="s">
        <v>236</v>
      </c>
      <c r="E154" s="3">
        <f>4*110</f>
        <v>440</v>
      </c>
      <c r="F154" s="9" t="s">
        <v>74</v>
      </c>
      <c r="G154" s="9" t="str">
        <f>IF(IFERROR(VLOOKUP(D154,Payments!G:G,1,FALSE),"UNPAID")=D154,"yes","no")</f>
        <v>yes</v>
      </c>
    </row>
    <row r="155" spans="1:8">
      <c r="A155" s="8" t="s">
        <v>70</v>
      </c>
      <c r="B155" s="34" t="s">
        <v>16</v>
      </c>
      <c r="C155" s="49">
        <v>43917</v>
      </c>
      <c r="D155" s="51" t="s">
        <v>237</v>
      </c>
      <c r="E155" s="3">
        <v>225.81</v>
      </c>
      <c r="F155" s="9" t="s">
        <v>72</v>
      </c>
      <c r="G155" s="9" t="str">
        <f>IF(IFERROR(VLOOKUP(D155,Payments!G:G,1,FALSE),"UNPAID")=D155,"yes","no")</f>
        <v>yes</v>
      </c>
    </row>
    <row r="156" spans="1:8">
      <c r="A156" s="8" t="s">
        <v>70</v>
      </c>
      <c r="B156" s="34" t="s">
        <v>16</v>
      </c>
      <c r="C156" s="49">
        <v>43917</v>
      </c>
      <c r="D156" s="51" t="s">
        <v>238</v>
      </c>
      <c r="E156" s="3">
        <f>1250+59.8</f>
        <v>1309.8</v>
      </c>
      <c r="F156" s="9" t="s">
        <v>74</v>
      </c>
      <c r="G156" s="9" t="str">
        <f>IF(IFERROR(VLOOKUP(D156,Payments!G:G,1,FALSE),"UNPAID")=D156,"yes","no")</f>
        <v>no</v>
      </c>
    </row>
    <row r="157" spans="1:8">
      <c r="A157" s="8" t="s">
        <v>17</v>
      </c>
      <c r="B157" s="34" t="s">
        <v>18</v>
      </c>
      <c r="C157" s="49">
        <v>43902</v>
      </c>
      <c r="D157" s="51" t="s">
        <v>239</v>
      </c>
      <c r="E157" s="3">
        <v>50807.51</v>
      </c>
      <c r="F157" s="9" t="s">
        <v>72</v>
      </c>
      <c r="G157" s="9" t="str">
        <f>IF(IFERROR(VLOOKUP(D157,Payments!G:G,1,FALSE),"UNPAID")=D157,"yes","no")</f>
        <v>yes</v>
      </c>
      <c r="H157" s="17">
        <v>4665.09</v>
      </c>
    </row>
    <row r="158" spans="1:8">
      <c r="A158" s="8" t="s">
        <v>17</v>
      </c>
      <c r="B158" s="34" t="s">
        <v>18</v>
      </c>
      <c r="C158" s="49">
        <v>43902</v>
      </c>
      <c r="D158" s="51" t="s">
        <v>240</v>
      </c>
      <c r="E158" s="3">
        <f>284*125</f>
        <v>35500</v>
      </c>
      <c r="F158" s="9" t="s">
        <v>74</v>
      </c>
      <c r="G158" s="9" t="str">
        <f>IF(IFERROR(VLOOKUP(D158,Payments!G:G,1,FALSE),"UNPAID")=D158,"yes","no")</f>
        <v>yes</v>
      </c>
    </row>
    <row r="159" spans="1:8">
      <c r="A159" s="8" t="s">
        <v>17</v>
      </c>
      <c r="B159" s="34" t="s">
        <v>18</v>
      </c>
      <c r="C159" s="49">
        <v>43917</v>
      </c>
      <c r="D159" s="51" t="s">
        <v>241</v>
      </c>
      <c r="E159" s="3">
        <v>40915.160000000003</v>
      </c>
      <c r="F159" s="9" t="s">
        <v>72</v>
      </c>
      <c r="G159" s="9" t="str">
        <f>IF(IFERROR(VLOOKUP(D159,Payments!G:G,1,FALSE),"UNPAID")=D159,"yes","no")</f>
        <v>yes</v>
      </c>
      <c r="H159" s="17">
        <v>2798.09</v>
      </c>
    </row>
    <row r="160" spans="1:8">
      <c r="A160" s="8" t="s">
        <v>17</v>
      </c>
      <c r="B160" s="34" t="s">
        <v>19</v>
      </c>
      <c r="C160" s="49">
        <v>43902</v>
      </c>
      <c r="D160" s="51" t="s">
        <v>242</v>
      </c>
      <c r="E160" s="3">
        <v>49055.14</v>
      </c>
      <c r="F160" s="9" t="s">
        <v>72</v>
      </c>
      <c r="G160" s="9" t="str">
        <f>IF(IFERROR(VLOOKUP(D160,Payments!G:G,1,FALSE),"UNPAID")=D160,"yes","no")</f>
        <v>no</v>
      </c>
      <c r="H160" s="17">
        <v>4563.72</v>
      </c>
    </row>
    <row r="161" spans="1:8">
      <c r="A161" s="8" t="s">
        <v>17</v>
      </c>
      <c r="B161" s="34" t="s">
        <v>99</v>
      </c>
      <c r="C161" s="49">
        <v>43902</v>
      </c>
      <c r="D161" s="51" t="s">
        <v>243</v>
      </c>
      <c r="E161" s="3">
        <f>99.75*125</f>
        <v>12468.75</v>
      </c>
      <c r="F161" s="9" t="s">
        <v>74</v>
      </c>
      <c r="G161" s="9" t="str">
        <f>IF(IFERROR(VLOOKUP(D161,Payments!G:G,1,FALSE),"UNPAID")=D161,"yes","no")</f>
        <v>yes</v>
      </c>
    </row>
    <row r="162" spans="1:8">
      <c r="A162" s="8" t="s">
        <v>17</v>
      </c>
      <c r="B162" s="34" t="s">
        <v>99</v>
      </c>
      <c r="C162" s="49">
        <v>43917</v>
      </c>
      <c r="D162" s="51" t="s">
        <v>244</v>
      </c>
      <c r="E162" s="3">
        <v>33046.080000000002</v>
      </c>
      <c r="F162" s="9" t="s">
        <v>72</v>
      </c>
      <c r="G162" s="9" t="str">
        <f>IF(IFERROR(VLOOKUP(D162,Payments!G:G,1,FALSE),"UNPAID")=D162,"yes","no")</f>
        <v>yes</v>
      </c>
      <c r="H162" s="17">
        <v>3892.21</v>
      </c>
    </row>
    <row r="163" spans="1:8">
      <c r="A163" s="8" t="s">
        <v>17</v>
      </c>
      <c r="B163" s="34" t="s">
        <v>20</v>
      </c>
      <c r="C163" s="49">
        <v>43917</v>
      </c>
      <c r="D163" s="51" t="s">
        <v>245</v>
      </c>
      <c r="E163" s="3">
        <f>9.75*125</f>
        <v>1218.75</v>
      </c>
      <c r="F163" s="9" t="s">
        <v>74</v>
      </c>
      <c r="G163" s="9" t="str">
        <f>IF(IFERROR(VLOOKUP(D163,Payments!G:G,1,FALSE),"UNPAID")=D163,"yes","no")</f>
        <v>yes</v>
      </c>
    </row>
    <row r="164" spans="1:8">
      <c r="A164" s="8" t="s">
        <v>17</v>
      </c>
      <c r="B164" s="35" t="s">
        <v>21</v>
      </c>
      <c r="C164" s="49">
        <v>43902</v>
      </c>
      <c r="D164" s="51" t="s">
        <v>246</v>
      </c>
      <c r="E164" s="3">
        <v>23528.55</v>
      </c>
      <c r="F164" s="9" t="s">
        <v>72</v>
      </c>
      <c r="G164" s="9" t="str">
        <f>IF(IFERROR(VLOOKUP(D164,Payments!G:G,1,FALSE),"UNPAID")=D164,"yes","no")</f>
        <v>yes</v>
      </c>
      <c r="H164" s="17">
        <v>956.09</v>
      </c>
    </row>
    <row r="165" spans="1:8">
      <c r="A165" s="8" t="s">
        <v>17</v>
      </c>
      <c r="B165" s="35" t="s">
        <v>21</v>
      </c>
      <c r="C165" s="49">
        <v>43902</v>
      </c>
      <c r="D165" s="51" t="s">
        <v>247</v>
      </c>
      <c r="E165" s="3">
        <f>52.5*125</f>
        <v>6562.5</v>
      </c>
      <c r="F165" s="9" t="s">
        <v>74</v>
      </c>
      <c r="G165" s="9" t="str">
        <f>IF(IFERROR(VLOOKUP(D165,Payments!G:G,1,FALSE),"UNPAID")=D165,"yes","no")</f>
        <v>yes</v>
      </c>
    </row>
    <row r="166" spans="1:8">
      <c r="A166" s="8" t="s">
        <v>17</v>
      </c>
      <c r="B166" s="35" t="s">
        <v>21</v>
      </c>
      <c r="C166" s="49">
        <v>43917</v>
      </c>
      <c r="D166" s="51" t="s">
        <v>248</v>
      </c>
      <c r="E166" s="3">
        <v>12309.47</v>
      </c>
      <c r="F166" s="9" t="s">
        <v>72</v>
      </c>
      <c r="G166" s="9" t="str">
        <f>IF(IFERROR(VLOOKUP(D166,Payments!G:G,1,FALSE),"UNPAID")=D166,"yes","no")</f>
        <v>yes</v>
      </c>
      <c r="H166" s="17">
        <v>608.83000000000004</v>
      </c>
    </row>
    <row r="167" spans="1:8">
      <c r="A167" s="8" t="s">
        <v>17</v>
      </c>
      <c r="B167" s="35" t="s">
        <v>22</v>
      </c>
      <c r="C167" s="49">
        <v>43917</v>
      </c>
      <c r="D167" s="51" t="s">
        <v>249</v>
      </c>
      <c r="E167" s="3">
        <v>7382.4</v>
      </c>
      <c r="F167" s="9" t="s">
        <v>72</v>
      </c>
      <c r="G167" s="9" t="str">
        <f>IF(IFERROR(VLOOKUP(D167,Payments!G:G,1,FALSE),"UNPAID")=D167,"yes","no")</f>
        <v>yes</v>
      </c>
    </row>
    <row r="168" spans="1:8">
      <c r="A168" s="8" t="s">
        <v>17</v>
      </c>
      <c r="B168" s="35" t="s">
        <v>22</v>
      </c>
      <c r="C168" s="49">
        <v>43917</v>
      </c>
      <c r="D168" s="51" t="s">
        <v>250</v>
      </c>
      <c r="E168" s="3">
        <f>243.25*125</f>
        <v>30406.25</v>
      </c>
      <c r="F168" s="9" t="s">
        <v>74</v>
      </c>
      <c r="G168" s="9" t="str">
        <f>IF(IFERROR(VLOOKUP(D168,Payments!G:G,1,FALSE),"UNPAID")=D168,"yes","no")</f>
        <v>yes</v>
      </c>
    </row>
    <row r="169" spans="1:8">
      <c r="A169" s="8" t="s">
        <v>17</v>
      </c>
      <c r="B169" s="35" t="s">
        <v>22</v>
      </c>
      <c r="C169" s="49">
        <v>43917</v>
      </c>
      <c r="D169" s="51" t="s">
        <v>251</v>
      </c>
      <c r="E169" s="3">
        <v>4404.8</v>
      </c>
      <c r="F169" s="9" t="s">
        <v>109</v>
      </c>
      <c r="G169" s="9" t="str">
        <f>IF(IFERROR(VLOOKUP(D169,Payments!G:G,1,FALSE),"UNPAID")=D169,"yes","no")</f>
        <v>no</v>
      </c>
    </row>
    <row r="170" spans="1:8">
      <c r="A170" s="8" t="s">
        <v>17</v>
      </c>
      <c r="B170" s="35" t="s">
        <v>23</v>
      </c>
      <c r="C170" s="49">
        <v>43917</v>
      </c>
      <c r="D170" s="51" t="s">
        <v>252</v>
      </c>
      <c r="E170" s="3">
        <v>5842.92</v>
      </c>
      <c r="F170" s="9" t="s">
        <v>72</v>
      </c>
      <c r="G170" s="9" t="str">
        <f>IF(IFERROR(VLOOKUP(D170,Payments!G:G,1,FALSE),"UNPAID")=D170,"yes","no")</f>
        <v>yes</v>
      </c>
    </row>
    <row r="171" spans="1:8">
      <c r="A171" s="8" t="s">
        <v>17</v>
      </c>
      <c r="B171" s="35" t="s">
        <v>23</v>
      </c>
      <c r="C171" s="49">
        <v>43917</v>
      </c>
      <c r="D171" s="51" t="s">
        <v>253</v>
      </c>
      <c r="E171" s="3">
        <v>2984.8</v>
      </c>
      <c r="F171" s="9" t="s">
        <v>109</v>
      </c>
      <c r="G171" s="9" t="str">
        <f>IF(IFERROR(VLOOKUP(D171,Payments!G:G,1,FALSE),"UNPAID")=D171,"yes","no")</f>
        <v>no</v>
      </c>
    </row>
    <row r="172" spans="1:8">
      <c r="A172" s="8" t="s">
        <v>17</v>
      </c>
      <c r="B172" s="34" t="s">
        <v>24</v>
      </c>
      <c r="C172" s="49">
        <v>43917</v>
      </c>
      <c r="D172" s="51" t="s">
        <v>254</v>
      </c>
      <c r="E172" s="3">
        <f>1.5*125</f>
        <v>187.5</v>
      </c>
      <c r="F172" s="9" t="s">
        <v>74</v>
      </c>
      <c r="G172" s="9" t="str">
        <f>IF(IFERROR(VLOOKUP(D172,Payments!G:G,1,FALSE),"UNPAID")=D172,"yes","no")</f>
        <v>yes</v>
      </c>
    </row>
    <row r="173" spans="1:8">
      <c r="A173" s="8" t="s">
        <v>17</v>
      </c>
      <c r="B173" s="34" t="s">
        <v>25</v>
      </c>
      <c r="C173" s="49">
        <v>43917</v>
      </c>
      <c r="D173" s="51" t="s">
        <v>255</v>
      </c>
      <c r="E173" s="19">
        <f>125-187.5</f>
        <v>-62.5</v>
      </c>
      <c r="F173" s="9" t="s">
        <v>74</v>
      </c>
      <c r="G173" s="9" t="str">
        <f>IF(IFERROR(VLOOKUP(D173,Payments!G:G,1,FALSE),"UNPAID")=D173,"yes","no")</f>
        <v>no</v>
      </c>
    </row>
    <row r="174" spans="1:8">
      <c r="A174" s="8" t="s">
        <v>17</v>
      </c>
      <c r="B174" s="34" t="s">
        <v>26</v>
      </c>
      <c r="C174" s="49">
        <v>43917</v>
      </c>
      <c r="D174" s="51" t="s">
        <v>256</v>
      </c>
      <c r="E174" s="3">
        <f>0.25*150</f>
        <v>37.5</v>
      </c>
      <c r="F174" s="9" t="s">
        <v>74</v>
      </c>
      <c r="G174" s="9" t="str">
        <f>IF(IFERROR(VLOOKUP(D174,Payments!G:G,1,FALSE),"UNPAID")=D174,"yes","no")</f>
        <v>yes</v>
      </c>
    </row>
    <row r="175" spans="1:8">
      <c r="B175" s="34" t="s">
        <v>31</v>
      </c>
      <c r="C175" s="49">
        <v>43917</v>
      </c>
      <c r="D175" s="51" t="s">
        <v>257</v>
      </c>
      <c r="E175" s="3">
        <v>3673.12</v>
      </c>
      <c r="F175" s="9" t="s">
        <v>72</v>
      </c>
      <c r="G175" s="9" t="str">
        <f>IF(IFERROR(VLOOKUP(D175,Payments!G:G,1,FALSE),"UNPAID")=D175,"yes","no")</f>
        <v>no</v>
      </c>
      <c r="H175" s="17">
        <v>59.05</v>
      </c>
    </row>
    <row r="176" spans="1:8">
      <c r="B176" s="34" t="s">
        <v>31</v>
      </c>
      <c r="C176" s="49">
        <v>43917</v>
      </c>
      <c r="D176" s="51" t="s">
        <v>258</v>
      </c>
      <c r="E176" s="3">
        <v>199.46</v>
      </c>
      <c r="F176" s="9" t="s">
        <v>235</v>
      </c>
      <c r="G176" s="9" t="str">
        <f>IF(IFERROR(VLOOKUP(D176,Payments!G:G,1,FALSE),"UNPAID")=D176,"yes","no")</f>
        <v>no</v>
      </c>
    </row>
    <row r="177" spans="2:8">
      <c r="B177" s="34" t="s">
        <v>31</v>
      </c>
      <c r="C177" s="49">
        <v>43917</v>
      </c>
      <c r="D177" s="51" t="s">
        <v>259</v>
      </c>
      <c r="E177" s="3">
        <f>3*110</f>
        <v>330</v>
      </c>
      <c r="F177" s="9" t="s">
        <v>74</v>
      </c>
      <c r="G177" s="9" t="str">
        <f>IF(IFERROR(VLOOKUP(D177,Payments!G:G,1,FALSE),"UNPAID")=D177,"yes","no")</f>
        <v>yes</v>
      </c>
    </row>
    <row r="178" spans="2:8">
      <c r="B178" s="34" t="s">
        <v>32</v>
      </c>
      <c r="C178" s="49">
        <v>43917</v>
      </c>
      <c r="D178" s="51" t="s">
        <v>260</v>
      </c>
      <c r="E178" s="3">
        <v>2106.77</v>
      </c>
      <c r="F178" s="9" t="s">
        <v>72</v>
      </c>
      <c r="G178" s="9" t="str">
        <f>IF(IFERROR(VLOOKUP(D178,Payments!G:G,1,FALSE),"UNPAID")=D178,"yes","no")</f>
        <v>yes</v>
      </c>
      <c r="H178" s="17">
        <v>29.95</v>
      </c>
    </row>
    <row r="179" spans="2:8">
      <c r="B179" s="34" t="s">
        <v>32</v>
      </c>
      <c r="C179" s="49">
        <v>43917</v>
      </c>
      <c r="D179" s="51" t="s">
        <v>261</v>
      </c>
      <c r="E179" s="3">
        <v>32.97</v>
      </c>
      <c r="F179" s="9" t="s">
        <v>235</v>
      </c>
      <c r="G179" s="9" t="str">
        <f>IF(IFERROR(VLOOKUP(D179,Payments!G:G,1,FALSE),"UNPAID")=D179,"yes","no")</f>
        <v>no</v>
      </c>
    </row>
    <row r="180" spans="2:8">
      <c r="B180" s="34" t="s">
        <v>32</v>
      </c>
      <c r="C180" s="49">
        <v>43917</v>
      </c>
      <c r="D180" s="51" t="s">
        <v>262</v>
      </c>
      <c r="E180" s="3">
        <v>1332</v>
      </c>
      <c r="F180" s="9" t="s">
        <v>74</v>
      </c>
      <c r="G180" s="9" t="str">
        <f>IF(IFERROR(VLOOKUP(D180,Payments!G:G,1,FALSE),"UNPAID")=D180,"yes","no")</f>
        <v>yes</v>
      </c>
    </row>
    <row r="181" spans="2:8">
      <c r="B181" s="34" t="s">
        <v>34</v>
      </c>
      <c r="C181" s="49">
        <v>43917</v>
      </c>
      <c r="D181" s="51" t="s">
        <v>263</v>
      </c>
      <c r="E181" s="3">
        <f>(12*200)+(2781*2)</f>
        <v>7962</v>
      </c>
      <c r="F181" s="9" t="s">
        <v>74</v>
      </c>
      <c r="G181" s="9" t="str">
        <f>IF(IFERROR(VLOOKUP(D181,Payments!G:G,1,FALSE),"UNPAID")=D181,"yes","no")</f>
        <v>yes</v>
      </c>
    </row>
    <row r="182" spans="2:8">
      <c r="B182" s="34" t="s">
        <v>35</v>
      </c>
      <c r="C182" s="49">
        <v>43917</v>
      </c>
      <c r="D182" s="51" t="s">
        <v>264</v>
      </c>
      <c r="E182" s="3">
        <f>(0.5*150)+(1*150)</f>
        <v>225</v>
      </c>
      <c r="F182" s="9" t="s">
        <v>74</v>
      </c>
      <c r="G182" s="9" t="str">
        <f>IF(IFERROR(VLOOKUP(D182,Payments!G:G,1,FALSE),"UNPAID")=D182,"yes","no")</f>
        <v>yes</v>
      </c>
    </row>
    <row r="183" spans="2:8">
      <c r="B183" s="34" t="s">
        <v>119</v>
      </c>
      <c r="C183" s="49">
        <v>43902</v>
      </c>
      <c r="D183" s="51" t="s">
        <v>265</v>
      </c>
      <c r="E183" s="3">
        <v>19757.05</v>
      </c>
      <c r="F183" s="9" t="s">
        <v>72</v>
      </c>
      <c r="G183" s="9" t="str">
        <f>IF(IFERROR(VLOOKUP(D183,Payments!G:G,1,FALSE),"UNPAID")=D183,"yes","no")</f>
        <v>no</v>
      </c>
      <c r="H183" s="17">
        <v>2352.65</v>
      </c>
    </row>
    <row r="184" spans="2:8">
      <c r="B184" s="34" t="s">
        <v>119</v>
      </c>
      <c r="C184" s="49">
        <v>43917</v>
      </c>
      <c r="D184" s="51" t="s">
        <v>266</v>
      </c>
      <c r="E184" s="3">
        <v>12182</v>
      </c>
      <c r="F184" s="9" t="s">
        <v>72</v>
      </c>
      <c r="G184" s="9" t="str">
        <f>IF(IFERROR(VLOOKUP(D184,Payments!G:G,1,FALSE),"UNPAID")=D184,"yes","no")</f>
        <v>yes</v>
      </c>
      <c r="H184" s="17">
        <v>986.7</v>
      </c>
    </row>
    <row r="185" spans="2:8">
      <c r="B185" s="34" t="s">
        <v>37</v>
      </c>
      <c r="C185" s="49">
        <v>43917</v>
      </c>
      <c r="D185" s="51" t="s">
        <v>267</v>
      </c>
      <c r="E185" s="3">
        <v>50268.73</v>
      </c>
      <c r="F185" s="9" t="s">
        <v>72</v>
      </c>
      <c r="G185" s="9" t="str">
        <f>IF(IFERROR(VLOOKUP(D185,Payments!G:G,1,FALSE),"UNPAID")=D185,"yes","no")</f>
        <v>yes</v>
      </c>
      <c r="H185" s="17">
        <v>4038.87</v>
      </c>
    </row>
    <row r="186" spans="2:8">
      <c r="B186" s="34" t="s">
        <v>37</v>
      </c>
      <c r="C186" s="49">
        <v>43917</v>
      </c>
      <c r="D186" s="51" t="s">
        <v>268</v>
      </c>
      <c r="E186" s="3">
        <f>78.25*150</f>
        <v>11737.5</v>
      </c>
      <c r="F186" s="9" t="s">
        <v>74</v>
      </c>
      <c r="G186" s="9" t="str">
        <f>IF(IFERROR(VLOOKUP(D186,Payments!G:G,1,FALSE),"UNPAID")=D186,"yes","no")</f>
        <v>yes</v>
      </c>
    </row>
    <row r="187" spans="2:8">
      <c r="B187" s="34" t="s">
        <v>39</v>
      </c>
      <c r="C187" s="49">
        <v>43917</v>
      </c>
      <c r="D187" s="51" t="s">
        <v>269</v>
      </c>
      <c r="E187" s="3">
        <v>5818</v>
      </c>
      <c r="F187" s="9" t="s">
        <v>72</v>
      </c>
      <c r="G187" s="9" t="str">
        <f>IF(IFERROR(VLOOKUP(D187,Payments!G:G,1,FALSE),"UNPAID")=D187,"yes","no")</f>
        <v>yes</v>
      </c>
      <c r="H187" s="17">
        <v>116</v>
      </c>
    </row>
    <row r="188" spans="2:8">
      <c r="B188" s="34" t="s">
        <v>39</v>
      </c>
      <c r="C188" s="49">
        <v>43917</v>
      </c>
      <c r="D188" s="51" t="s">
        <v>270</v>
      </c>
      <c r="E188" s="3">
        <v>213.14</v>
      </c>
      <c r="F188" s="9" t="s">
        <v>235</v>
      </c>
      <c r="G188" s="9" t="str">
        <f>IF(IFERROR(VLOOKUP(D188,Payments!G:G,1,FALSE),"UNPAID")=D188,"yes","no")</f>
        <v>yes</v>
      </c>
    </row>
    <row r="189" spans="2:8">
      <c r="B189" s="34" t="s">
        <v>39</v>
      </c>
      <c r="C189" s="49">
        <v>43917</v>
      </c>
      <c r="D189" s="51" t="s">
        <v>271</v>
      </c>
      <c r="E189" s="3">
        <v>500</v>
      </c>
      <c r="F189" s="9" t="s">
        <v>74</v>
      </c>
      <c r="G189" s="9" t="str">
        <f>IF(IFERROR(VLOOKUP(D189,Payments!G:G,1,FALSE),"UNPAID")=D189,"yes","no")</f>
        <v>yes</v>
      </c>
    </row>
    <row r="190" spans="2:8">
      <c r="B190" s="34" t="s">
        <v>40</v>
      </c>
      <c r="C190" s="49">
        <v>43917</v>
      </c>
      <c r="D190" s="51" t="s">
        <v>272</v>
      </c>
      <c r="E190" s="3">
        <v>1581.43</v>
      </c>
      <c r="F190" s="9" t="s">
        <v>72</v>
      </c>
      <c r="G190" s="9" t="str">
        <f>IF(IFERROR(VLOOKUP(D190,Payments!G:G,1,FALSE),"UNPAID")=D190,"yes","no")</f>
        <v>yes</v>
      </c>
      <c r="H190" s="17">
        <v>264.52</v>
      </c>
    </row>
    <row r="191" spans="2:8">
      <c r="B191" s="34" t="s">
        <v>40</v>
      </c>
      <c r="C191" s="49">
        <v>43917</v>
      </c>
      <c r="D191" s="51" t="s">
        <v>273</v>
      </c>
      <c r="E191" s="3">
        <v>75.08</v>
      </c>
      <c r="F191" s="9" t="s">
        <v>235</v>
      </c>
      <c r="G191" s="9" t="str">
        <f>IF(IFERROR(VLOOKUP(D191,Payments!G:G,1,FALSE),"UNPAID")=D191,"yes","no")</f>
        <v>yes</v>
      </c>
    </row>
    <row r="192" spans="2:8">
      <c r="B192" s="34" t="s">
        <v>40</v>
      </c>
      <c r="C192" s="49">
        <v>43917</v>
      </c>
      <c r="D192" s="51" t="s">
        <v>274</v>
      </c>
      <c r="E192" s="3">
        <v>1750</v>
      </c>
      <c r="F192" s="9" t="s">
        <v>74</v>
      </c>
      <c r="G192" s="9" t="str">
        <f>IF(IFERROR(VLOOKUP(D192,Payments!G:G,1,FALSE),"UNPAID")=D192,"yes","no")</f>
        <v>yes</v>
      </c>
    </row>
    <row r="193" spans="2:8">
      <c r="B193" s="34" t="s">
        <v>41</v>
      </c>
      <c r="C193" s="49">
        <v>43917</v>
      </c>
      <c r="D193" s="51" t="s">
        <v>275</v>
      </c>
      <c r="E193" s="3">
        <v>2077.63</v>
      </c>
      <c r="F193" s="9" t="s">
        <v>72</v>
      </c>
      <c r="G193" s="9" t="str">
        <f>IF(IFERROR(VLOOKUP(D193,Payments!G:G,1,FALSE),"UNPAID")=D193,"yes","no")</f>
        <v>yes</v>
      </c>
      <c r="H193" s="17">
        <v>141</v>
      </c>
    </row>
    <row r="194" spans="2:8">
      <c r="B194" s="34" t="s">
        <v>41</v>
      </c>
      <c r="C194" s="49">
        <v>43917</v>
      </c>
      <c r="D194" s="51" t="s">
        <v>276</v>
      </c>
      <c r="E194" s="3">
        <v>61.41</v>
      </c>
      <c r="F194" s="9" t="s">
        <v>235</v>
      </c>
      <c r="G194" s="9" t="str">
        <f>IF(IFERROR(VLOOKUP(D194,Payments!G:G,1,FALSE),"UNPAID")=D194,"yes","no")</f>
        <v>yes</v>
      </c>
    </row>
    <row r="195" spans="2:8">
      <c r="B195" s="34" t="s">
        <v>41</v>
      </c>
      <c r="C195" s="49">
        <v>43917</v>
      </c>
      <c r="D195" s="51" t="s">
        <v>277</v>
      </c>
      <c r="E195" s="3">
        <v>500</v>
      </c>
      <c r="F195" s="9" t="s">
        <v>74</v>
      </c>
      <c r="G195" s="9" t="str">
        <f>IF(IFERROR(VLOOKUP(D195,Payments!G:G,1,FALSE),"UNPAID")=D195,"yes","no")</f>
        <v>yes</v>
      </c>
    </row>
    <row r="196" spans="2:8">
      <c r="B196" s="34" t="s">
        <v>131</v>
      </c>
      <c r="C196" s="49">
        <v>43917</v>
      </c>
      <c r="D196" s="51" t="s">
        <v>278</v>
      </c>
      <c r="E196" s="3">
        <v>15733.09</v>
      </c>
      <c r="F196" s="9" t="s">
        <v>72</v>
      </c>
      <c r="G196" s="9" t="str">
        <f>IF(IFERROR(VLOOKUP(D196,Payments!G:G,1,FALSE),"UNPAID")=D196,"yes","no")</f>
        <v>yes</v>
      </c>
      <c r="H196" s="17">
        <v>1000.43</v>
      </c>
    </row>
    <row r="197" spans="2:8">
      <c r="B197" s="34" t="s">
        <v>131</v>
      </c>
      <c r="C197" s="49">
        <v>43917</v>
      </c>
      <c r="D197" s="51" t="s">
        <v>279</v>
      </c>
      <c r="E197" s="3">
        <v>93.46</v>
      </c>
      <c r="F197" s="9" t="s">
        <v>235</v>
      </c>
      <c r="G197" s="9" t="str">
        <f>IF(IFERROR(VLOOKUP(D197,Payments!G:G,1,FALSE),"UNPAID")=D197,"yes","no")</f>
        <v>no</v>
      </c>
    </row>
    <row r="198" spans="2:8">
      <c r="B198" s="34" t="s">
        <v>131</v>
      </c>
      <c r="C198" s="49">
        <v>43917</v>
      </c>
      <c r="D198" s="51" t="s">
        <v>280</v>
      </c>
      <c r="E198" s="3">
        <v>20833.330000000002</v>
      </c>
      <c r="F198" s="9" t="s">
        <v>74</v>
      </c>
      <c r="G198" s="9" t="str">
        <f>IF(IFERROR(VLOOKUP(D198,Payments!G:G,1,FALSE),"UNPAID")=D198,"yes","no")</f>
        <v>yes</v>
      </c>
    </row>
    <row r="199" spans="2:8">
      <c r="B199" s="34" t="s">
        <v>43</v>
      </c>
      <c r="C199" s="49">
        <v>43917</v>
      </c>
      <c r="D199" s="51" t="s">
        <v>281</v>
      </c>
      <c r="E199" s="3">
        <f>125*0.25</f>
        <v>31.25</v>
      </c>
      <c r="F199" s="9" t="s">
        <v>204</v>
      </c>
      <c r="G199" s="9" t="str">
        <f>IF(IFERROR(VLOOKUP(D199,Payments!G:G,1,FALSE),"UNPAID")=D199,"yes","no")</f>
        <v>no</v>
      </c>
    </row>
    <row r="200" spans="2:8">
      <c r="B200" s="34" t="s">
        <v>44</v>
      </c>
      <c r="C200" s="49">
        <v>43917</v>
      </c>
      <c r="D200" s="51" t="s">
        <v>282</v>
      </c>
      <c r="E200" s="3">
        <v>130</v>
      </c>
      <c r="F200" s="9" t="s">
        <v>204</v>
      </c>
      <c r="G200" s="9" t="str">
        <f>IF(IFERROR(VLOOKUP(D200,Payments!G:G,1,FALSE),"UNPAID")=D200,"yes","no")</f>
        <v>no</v>
      </c>
    </row>
    <row r="201" spans="2:8">
      <c r="B201" s="34" t="s">
        <v>52</v>
      </c>
      <c r="C201" s="49">
        <v>43917</v>
      </c>
      <c r="D201" s="51" t="s">
        <v>283</v>
      </c>
      <c r="E201" s="3">
        <v>779.35</v>
      </c>
      <c r="F201" s="9" t="s">
        <v>204</v>
      </c>
      <c r="G201" s="9" t="str">
        <f>IF(IFERROR(VLOOKUP(D201,Payments!G:G,1,FALSE),"UNPAID")=D201,"yes","no")</f>
        <v>yes</v>
      </c>
    </row>
    <row r="202" spans="2:8">
      <c r="B202" s="34" t="s">
        <v>53</v>
      </c>
      <c r="C202" s="49">
        <v>43917</v>
      </c>
      <c r="D202" s="51" t="s">
        <v>284</v>
      </c>
      <c r="E202" s="3">
        <v>875</v>
      </c>
      <c r="F202" s="9" t="s">
        <v>204</v>
      </c>
      <c r="G202" s="9" t="str">
        <f>IF(IFERROR(VLOOKUP(D202,Payments!G:G,1,FALSE),"UNPAID")=D202,"yes","no")</f>
        <v>yes</v>
      </c>
    </row>
    <row r="203" spans="2:8">
      <c r="B203" s="34" t="s">
        <v>54</v>
      </c>
      <c r="C203" s="49">
        <v>43917</v>
      </c>
      <c r="D203" s="51" t="s">
        <v>285</v>
      </c>
      <c r="E203" s="3">
        <v>263</v>
      </c>
      <c r="F203" s="9" t="s">
        <v>204</v>
      </c>
      <c r="G203" s="9" t="str">
        <f>IF(IFERROR(VLOOKUP(D203,Payments!G:G,1,FALSE),"UNPAID")=D203,"yes","no")</f>
        <v>yes</v>
      </c>
    </row>
    <row r="204" spans="2:8">
      <c r="B204" s="34" t="s">
        <v>55</v>
      </c>
      <c r="C204" s="49">
        <v>43917</v>
      </c>
      <c r="D204" s="51" t="s">
        <v>286</v>
      </c>
      <c r="E204" s="3">
        <v>35</v>
      </c>
      <c r="F204" s="9" t="s">
        <v>204</v>
      </c>
      <c r="G204" s="9" t="str">
        <f>IF(IFERROR(VLOOKUP(D204,Payments!G:G,1,FALSE),"UNPAID")=D204,"yes","no")</f>
        <v>yes</v>
      </c>
    </row>
    <row r="205" spans="2:8">
      <c r="B205" s="34" t="s">
        <v>56</v>
      </c>
      <c r="C205" s="49">
        <v>43917</v>
      </c>
      <c r="D205" s="51" t="s">
        <v>287</v>
      </c>
      <c r="E205" s="3">
        <v>60.05</v>
      </c>
      <c r="F205" s="9" t="s">
        <v>204</v>
      </c>
      <c r="G205" s="9" t="str">
        <f>IF(IFERROR(VLOOKUP(D205,Payments!G:G,1,FALSE),"UNPAID")=D205,"yes","no")</f>
        <v>yes</v>
      </c>
    </row>
    <row r="206" spans="2:8">
      <c r="B206" s="34" t="s">
        <v>140</v>
      </c>
      <c r="C206" s="49">
        <v>43917</v>
      </c>
      <c r="D206" s="51" t="s">
        <v>288</v>
      </c>
      <c r="E206" s="3">
        <v>210</v>
      </c>
      <c r="F206" s="9" t="s">
        <v>204</v>
      </c>
      <c r="G206" s="9" t="str">
        <f>IF(IFERROR(VLOOKUP(D206,Payments!G:G,1,FALSE),"UNPAID")=D206,"yes","no")</f>
        <v>yes</v>
      </c>
    </row>
    <row r="207" spans="2:8">
      <c r="B207" s="34" t="s">
        <v>59</v>
      </c>
      <c r="C207" s="49">
        <v>43917</v>
      </c>
      <c r="D207" s="51" t="s">
        <v>289</v>
      </c>
      <c r="E207" s="3">
        <v>455.35</v>
      </c>
      <c r="F207" s="9" t="s">
        <v>204</v>
      </c>
      <c r="G207" s="9" t="str">
        <f>IF(IFERROR(VLOOKUP(D207,Payments!G:G,1,FALSE),"UNPAID")=D207,"yes","no")</f>
        <v>yes</v>
      </c>
    </row>
    <row r="208" spans="2:8">
      <c r="B208" s="34" t="s">
        <v>60</v>
      </c>
      <c r="C208" s="49">
        <v>43917</v>
      </c>
      <c r="D208" s="51" t="s">
        <v>290</v>
      </c>
      <c r="E208" s="3">
        <v>986</v>
      </c>
      <c r="F208" s="9" t="s">
        <v>204</v>
      </c>
      <c r="G208" s="9" t="str">
        <f>IF(IFERROR(VLOOKUP(D208,Payments!G:G,1,FALSE),"UNPAID")=D208,"yes","no")</f>
        <v>yes</v>
      </c>
    </row>
    <row r="209" spans="1:8">
      <c r="B209" s="34" t="s">
        <v>62</v>
      </c>
      <c r="C209" s="49">
        <v>43917</v>
      </c>
      <c r="D209" s="51" t="s">
        <v>291</v>
      </c>
      <c r="E209" s="3">
        <v>170.1</v>
      </c>
      <c r="F209" s="9" t="s">
        <v>204</v>
      </c>
      <c r="G209" s="9" t="str">
        <f>IF(IFERROR(VLOOKUP(D209,Payments!G:G,1,FALSE),"UNPAID")=D209,"yes","no")</f>
        <v>yes</v>
      </c>
    </row>
    <row r="210" spans="1:8">
      <c r="B210" s="34" t="s">
        <v>63</v>
      </c>
      <c r="C210" s="49">
        <v>43917</v>
      </c>
      <c r="D210" s="51" t="s">
        <v>292</v>
      </c>
      <c r="E210" s="3">
        <v>385</v>
      </c>
      <c r="F210" s="9" t="s">
        <v>204</v>
      </c>
      <c r="G210" s="9" t="str">
        <f>IF(IFERROR(VLOOKUP(D210,Payments!G:G,1,FALSE),"UNPAID")=D210,"yes","no")</f>
        <v>yes</v>
      </c>
    </row>
    <row r="211" spans="1:8">
      <c r="A211" s="8" t="s">
        <v>70</v>
      </c>
      <c r="B211" s="34" t="s">
        <v>6</v>
      </c>
      <c r="C211" s="49">
        <v>43933</v>
      </c>
      <c r="D211" s="11" t="s">
        <v>293</v>
      </c>
      <c r="E211" s="3">
        <v>18250.62</v>
      </c>
      <c r="F211" s="9" t="s">
        <v>72</v>
      </c>
      <c r="G211" s="9" t="str">
        <f>IF(IFERROR(VLOOKUP(D211,Payments!G:G,1,FALSE),"UNPAID")=D211,"yes","no")</f>
        <v>yes</v>
      </c>
      <c r="H211" s="24">
        <v>3516.73</v>
      </c>
    </row>
    <row r="212" spans="1:8">
      <c r="A212" s="8" t="s">
        <v>70</v>
      </c>
      <c r="B212" s="34" t="s">
        <v>6</v>
      </c>
      <c r="C212" s="49">
        <v>43933</v>
      </c>
      <c r="D212" s="11" t="s">
        <v>294</v>
      </c>
      <c r="E212" s="3">
        <f>163.25*110</f>
        <v>17957.5</v>
      </c>
      <c r="F212" s="9" t="s">
        <v>74</v>
      </c>
      <c r="G212" s="9" t="str">
        <f>IF(IFERROR(VLOOKUP(D212,Payments!G:G,1,FALSE),"UNPAID")=D212,"yes","no")</f>
        <v>yes</v>
      </c>
    </row>
    <row r="213" spans="1:8">
      <c r="A213" s="8" t="s">
        <v>70</v>
      </c>
      <c r="B213" s="34" t="s">
        <v>6</v>
      </c>
      <c r="C213" s="49">
        <v>43948</v>
      </c>
      <c r="D213" s="11" t="s">
        <v>295</v>
      </c>
      <c r="E213" s="3">
        <v>18503.62</v>
      </c>
      <c r="F213" s="9" t="s">
        <v>72</v>
      </c>
      <c r="G213" s="9" t="str">
        <f>IF(IFERROR(VLOOKUP(D213,Payments!G:G,1,FALSE),"UNPAID")=D213,"yes","no")</f>
        <v>yes</v>
      </c>
      <c r="H213" s="24">
        <v>1140.42</v>
      </c>
    </row>
    <row r="214" spans="1:8">
      <c r="A214" s="8" t="s">
        <v>70</v>
      </c>
      <c r="B214" s="34" t="s">
        <v>7</v>
      </c>
      <c r="C214" s="49">
        <v>43933</v>
      </c>
      <c r="D214" s="11" t="s">
        <v>296</v>
      </c>
      <c r="E214" s="3">
        <v>11873.33</v>
      </c>
      <c r="F214" s="9" t="s">
        <v>72</v>
      </c>
      <c r="G214" s="9" t="str">
        <f>IF(IFERROR(VLOOKUP(D214,Payments!G:G,1,FALSE),"UNPAID")=D214,"yes","no")</f>
        <v>yes</v>
      </c>
      <c r="H214" s="24">
        <v>894.27</v>
      </c>
    </row>
    <row r="215" spans="1:8">
      <c r="A215" s="8" t="s">
        <v>70</v>
      </c>
      <c r="B215" s="34" t="s">
        <v>7</v>
      </c>
      <c r="C215" s="49">
        <v>43933</v>
      </c>
      <c r="D215" s="11" t="s">
        <v>297</v>
      </c>
      <c r="E215" s="3">
        <f>94.25*110</f>
        <v>10367.5</v>
      </c>
      <c r="F215" s="9" t="s">
        <v>74</v>
      </c>
      <c r="G215" s="9" t="str">
        <f>IF(IFERROR(VLOOKUP(D215,Payments!G:G,1,FALSE),"UNPAID")=D215,"yes","no")</f>
        <v>yes</v>
      </c>
    </row>
    <row r="216" spans="1:8">
      <c r="A216" s="8" t="s">
        <v>70</v>
      </c>
      <c r="B216" s="34" t="s">
        <v>7</v>
      </c>
      <c r="C216" s="49">
        <v>43948</v>
      </c>
      <c r="D216" s="11" t="s">
        <v>298</v>
      </c>
      <c r="E216" s="3">
        <v>7869.08</v>
      </c>
      <c r="F216" s="9" t="s">
        <v>72</v>
      </c>
      <c r="G216" s="9" t="str">
        <f>IF(IFERROR(VLOOKUP(D216,Payments!G:G,1,FALSE),"UNPAID")=D216,"yes","no")</f>
        <v>yes</v>
      </c>
      <c r="H216" s="24">
        <v>1120.3</v>
      </c>
    </row>
    <row r="217" spans="1:8">
      <c r="A217" s="8" t="s">
        <v>70</v>
      </c>
      <c r="B217" s="35" t="s">
        <v>8</v>
      </c>
      <c r="C217" s="49">
        <v>43948</v>
      </c>
      <c r="D217" s="12" t="s">
        <v>299</v>
      </c>
      <c r="E217" s="3">
        <v>2089.5100000000002</v>
      </c>
      <c r="F217" s="9" t="s">
        <v>72</v>
      </c>
      <c r="G217" s="9" t="str">
        <f>IF(IFERROR(VLOOKUP(D217,Payments!G:G,1,FALSE),"UNPAID")=D217,"yes","no")</f>
        <v>yes</v>
      </c>
      <c r="H217" s="24">
        <v>151.38999999999999</v>
      </c>
    </row>
    <row r="218" spans="1:8">
      <c r="A218" s="8" t="s">
        <v>70</v>
      </c>
      <c r="B218" s="35" t="s">
        <v>8</v>
      </c>
      <c r="C218" s="49">
        <v>43948</v>
      </c>
      <c r="D218" s="12" t="s">
        <v>300</v>
      </c>
      <c r="E218" s="3">
        <f>22*110</f>
        <v>2420</v>
      </c>
      <c r="F218" s="9" t="s">
        <v>74</v>
      </c>
      <c r="G218" s="9" t="str">
        <f>IF(IFERROR(VLOOKUP(D218,Payments!G:G,1,FALSE),"UNPAID")=D218,"yes","no")</f>
        <v>yes</v>
      </c>
    </row>
    <row r="219" spans="1:8">
      <c r="A219" s="8" t="s">
        <v>70</v>
      </c>
      <c r="B219" s="35" t="s">
        <v>9</v>
      </c>
      <c r="C219" s="49">
        <v>43948</v>
      </c>
      <c r="D219" s="12" t="s">
        <v>301</v>
      </c>
      <c r="E219" s="3">
        <v>3946.11</v>
      </c>
      <c r="F219" s="9" t="s">
        <v>72</v>
      </c>
      <c r="G219" s="9" t="str">
        <f>IF(IFERROR(VLOOKUP(D219,Payments!G:G,1,FALSE),"UNPAID")=D219,"yes","no")</f>
        <v>yes</v>
      </c>
      <c r="H219" s="24">
        <v>356.28</v>
      </c>
    </row>
    <row r="220" spans="1:8">
      <c r="A220" s="8" t="s">
        <v>70</v>
      </c>
      <c r="B220" s="35" t="s">
        <v>9</v>
      </c>
      <c r="C220" s="49">
        <v>43948</v>
      </c>
      <c r="D220" s="12" t="s">
        <v>302</v>
      </c>
      <c r="E220" s="3">
        <f>3.25*110</f>
        <v>357.5</v>
      </c>
      <c r="F220" s="9" t="s">
        <v>74</v>
      </c>
      <c r="G220" s="9" t="str">
        <f>IF(IFERROR(VLOOKUP(D220,Payments!G:G,1,FALSE),"UNPAID")=D220,"yes","no")</f>
        <v>yes</v>
      </c>
    </row>
    <row r="221" spans="1:8">
      <c r="A221" s="8" t="s">
        <v>70</v>
      </c>
      <c r="B221" s="34" t="s">
        <v>10</v>
      </c>
      <c r="C221" s="49">
        <v>43948</v>
      </c>
      <c r="D221" s="50" t="s">
        <v>303</v>
      </c>
      <c r="E221" s="3">
        <v>218.63</v>
      </c>
      <c r="F221" s="9" t="s">
        <v>72</v>
      </c>
      <c r="G221" s="9" t="str">
        <f>IF(IFERROR(VLOOKUP(D221,Payments!G:G,1,FALSE),"UNPAID")=D221,"yes","no")</f>
        <v>yes</v>
      </c>
    </row>
    <row r="222" spans="1:8">
      <c r="A222" s="8" t="s">
        <v>70</v>
      </c>
      <c r="B222" s="34" t="s">
        <v>10</v>
      </c>
      <c r="C222" s="49">
        <v>43948</v>
      </c>
      <c r="D222" s="50" t="s">
        <v>304</v>
      </c>
      <c r="E222" s="3">
        <f>4*110</f>
        <v>440</v>
      </c>
      <c r="F222" s="9" t="s">
        <v>74</v>
      </c>
      <c r="G222" s="9" t="str">
        <f>IF(IFERROR(VLOOKUP(D222,Payments!G:G,1,FALSE),"UNPAID")=D222,"yes","no")</f>
        <v>yes</v>
      </c>
    </row>
    <row r="223" spans="1:8">
      <c r="A223" s="8" t="s">
        <v>70</v>
      </c>
      <c r="B223" s="34" t="s">
        <v>11</v>
      </c>
      <c r="C223" s="49">
        <v>43948</v>
      </c>
      <c r="D223" s="51" t="s">
        <v>305</v>
      </c>
      <c r="E223" s="3">
        <v>1182.6300000000001</v>
      </c>
      <c r="F223" s="9" t="s">
        <v>72</v>
      </c>
      <c r="G223" s="9" t="str">
        <f>IF(IFERROR(VLOOKUP(D223,Payments!G:G,1,FALSE),"UNPAID")=D223,"yes","no")</f>
        <v>yes</v>
      </c>
      <c r="H223" s="24">
        <v>182.36</v>
      </c>
    </row>
    <row r="224" spans="1:8">
      <c r="A224" s="8" t="s">
        <v>70</v>
      </c>
      <c r="B224" s="34" t="s">
        <v>11</v>
      </c>
      <c r="C224" s="49">
        <v>43948</v>
      </c>
      <c r="D224" s="51" t="s">
        <v>306</v>
      </c>
      <c r="E224" s="3">
        <f>8.75*110</f>
        <v>962.5</v>
      </c>
      <c r="F224" s="9" t="s">
        <v>74</v>
      </c>
      <c r="G224" s="9" t="str">
        <f>IF(IFERROR(VLOOKUP(D224,Payments!G:G,1,FALSE),"UNPAID")=D224,"yes","no")</f>
        <v>yes</v>
      </c>
    </row>
    <row r="225" spans="1:9">
      <c r="A225" s="8" t="s">
        <v>70</v>
      </c>
      <c r="B225" s="35" t="s">
        <v>12</v>
      </c>
      <c r="C225" s="49">
        <v>43948</v>
      </c>
      <c r="D225" s="51" t="s">
        <v>307</v>
      </c>
      <c r="E225" s="3">
        <v>-356.04</v>
      </c>
      <c r="F225" s="9" t="s">
        <v>72</v>
      </c>
      <c r="G225" s="9" t="str">
        <f>IF(IFERROR(VLOOKUP(D225,Payments!G:G,1,FALSE),"UNPAID")=D225,"yes","no")</f>
        <v>no</v>
      </c>
      <c r="I225" s="25" t="s">
        <v>308</v>
      </c>
    </row>
    <row r="226" spans="1:9">
      <c r="A226" s="8" t="s">
        <v>70</v>
      </c>
      <c r="B226" s="35" t="s">
        <v>12</v>
      </c>
      <c r="C226" s="49">
        <v>43948</v>
      </c>
      <c r="D226" s="51" t="s">
        <v>309</v>
      </c>
      <c r="E226" s="3">
        <f>3*110</f>
        <v>330</v>
      </c>
      <c r="F226" s="9" t="s">
        <v>74</v>
      </c>
      <c r="G226" s="9" t="str">
        <f>IF(IFERROR(VLOOKUP(D226,Payments!G:G,1,FALSE),"UNPAID")=D226,"yes","no")</f>
        <v>yes</v>
      </c>
      <c r="H226" s="24">
        <v>118.95</v>
      </c>
      <c r="I226" s="25"/>
    </row>
    <row r="227" spans="1:9">
      <c r="A227" s="8" t="s">
        <v>70</v>
      </c>
      <c r="B227" s="35" t="s">
        <v>13</v>
      </c>
      <c r="C227" s="49">
        <v>43948</v>
      </c>
      <c r="D227" s="51" t="s">
        <v>310</v>
      </c>
      <c r="E227" s="3">
        <v>100</v>
      </c>
      <c r="F227" s="9" t="s">
        <v>74</v>
      </c>
      <c r="G227" s="9" t="str">
        <f>IF(IFERROR(VLOOKUP(D227,Payments!G:G,1,FALSE),"UNPAID")=D227,"yes","no")</f>
        <v>yes</v>
      </c>
      <c r="H227" s="24">
        <v>50</v>
      </c>
    </row>
    <row r="228" spans="1:9">
      <c r="A228" s="8" t="s">
        <v>70</v>
      </c>
      <c r="B228" s="35" t="s">
        <v>14</v>
      </c>
      <c r="C228" s="49">
        <v>43948</v>
      </c>
      <c r="D228" s="51" t="s">
        <v>311</v>
      </c>
      <c r="E228" s="3">
        <v>210.27</v>
      </c>
      <c r="F228" s="9" t="s">
        <v>72</v>
      </c>
      <c r="G228" s="9" t="str">
        <f>IF(IFERROR(VLOOKUP(D228,Payments!G:G,1,FALSE),"UNPAID")=D228,"yes","no")</f>
        <v>yes</v>
      </c>
    </row>
    <row r="229" spans="1:9">
      <c r="A229" s="8" t="s">
        <v>70</v>
      </c>
      <c r="B229" s="35" t="s">
        <v>14</v>
      </c>
      <c r="C229" s="49">
        <v>43948</v>
      </c>
      <c r="D229" s="51" t="s">
        <v>312</v>
      </c>
      <c r="E229" s="3">
        <f>2*110</f>
        <v>220</v>
      </c>
      <c r="F229" s="9" t="s">
        <v>74</v>
      </c>
      <c r="G229" s="9" t="str">
        <f>IF(IFERROR(VLOOKUP(D229,Payments!G:G,1,FALSE),"UNPAID")=D229,"yes","no")</f>
        <v>yes</v>
      </c>
    </row>
    <row r="230" spans="1:9">
      <c r="A230" s="8" t="s">
        <v>70</v>
      </c>
      <c r="B230" s="35" t="s">
        <v>15</v>
      </c>
      <c r="C230" s="49">
        <v>43948</v>
      </c>
      <c r="D230" s="51" t="s">
        <v>313</v>
      </c>
      <c r="E230" s="3">
        <f>3.75*110</f>
        <v>412.5</v>
      </c>
      <c r="F230" s="9" t="s">
        <v>74</v>
      </c>
      <c r="G230" s="9" t="str">
        <f>IF(IFERROR(VLOOKUP(D230,Payments!G:G,1,FALSE),"UNPAID")=D230,"yes","no")</f>
        <v>yes</v>
      </c>
    </row>
    <row r="231" spans="1:9">
      <c r="A231" s="8" t="s">
        <v>17</v>
      </c>
      <c r="B231" s="34" t="s">
        <v>18</v>
      </c>
      <c r="C231" s="49">
        <v>43933</v>
      </c>
      <c r="D231" s="51" t="s">
        <v>314</v>
      </c>
      <c r="E231" s="3">
        <v>28979.61</v>
      </c>
      <c r="F231" s="9" t="s">
        <v>72</v>
      </c>
      <c r="G231" s="9" t="str">
        <f>IF(IFERROR(VLOOKUP(D231,Payments!G:G,1,FALSE),"UNPAID")=D231,"yes","no")</f>
        <v>yes</v>
      </c>
      <c r="H231" s="24">
        <v>2695.71</v>
      </c>
    </row>
    <row r="232" spans="1:9">
      <c r="A232" s="8" t="s">
        <v>17</v>
      </c>
      <c r="B232" s="34" t="s">
        <v>18</v>
      </c>
      <c r="C232" s="49">
        <v>43933</v>
      </c>
      <c r="D232" s="51" t="s">
        <v>315</v>
      </c>
      <c r="E232" s="3">
        <f>322*125</f>
        <v>40250</v>
      </c>
      <c r="F232" s="9" t="s">
        <v>74</v>
      </c>
      <c r="G232" s="9" t="str">
        <f>IF(IFERROR(VLOOKUP(D232,Payments!G:G,1,FALSE),"UNPAID")=D232,"yes","no")</f>
        <v>yes</v>
      </c>
    </row>
    <row r="233" spans="1:9">
      <c r="A233" s="8" t="s">
        <v>17</v>
      </c>
      <c r="B233" s="34" t="s">
        <v>18</v>
      </c>
      <c r="C233" s="49">
        <v>43948</v>
      </c>
      <c r="D233" s="51" t="s">
        <v>316</v>
      </c>
      <c r="E233" s="3">
        <v>27997.78</v>
      </c>
      <c r="F233" s="9" t="s">
        <v>72</v>
      </c>
      <c r="G233" s="9" t="str">
        <f>IF(IFERROR(VLOOKUP(D233,Payments!G:G,1,FALSE),"UNPAID")=D233,"yes","no")</f>
        <v>yes</v>
      </c>
      <c r="H233" s="24">
        <v>4036.6</v>
      </c>
    </row>
    <row r="234" spans="1:9">
      <c r="A234" s="8" t="s">
        <v>17</v>
      </c>
      <c r="B234" s="35" t="s">
        <v>19</v>
      </c>
      <c r="C234" s="49">
        <v>43933</v>
      </c>
      <c r="D234" s="51" t="s">
        <v>317</v>
      </c>
      <c r="E234" s="3">
        <v>25494.59</v>
      </c>
      <c r="F234" s="9" t="s">
        <v>72</v>
      </c>
      <c r="G234" s="9" t="str">
        <f>IF(IFERROR(VLOOKUP(D234,Payments!G:G,1,FALSE),"UNPAID")=D234,"yes","no")</f>
        <v>yes</v>
      </c>
      <c r="H234" s="24">
        <v>1661.11</v>
      </c>
    </row>
    <row r="235" spans="1:9">
      <c r="A235" s="8" t="s">
        <v>17</v>
      </c>
      <c r="B235" s="35" t="s">
        <v>19</v>
      </c>
      <c r="C235" s="49">
        <v>43933</v>
      </c>
      <c r="D235" s="51" t="s">
        <v>318</v>
      </c>
      <c r="E235" s="3">
        <f>87.5*125</f>
        <v>10937.5</v>
      </c>
      <c r="F235" s="9" t="s">
        <v>74</v>
      </c>
      <c r="G235" s="9" t="str">
        <f>IF(IFERROR(VLOOKUP(D235,Payments!G:G,1,FALSE),"UNPAID")=D235,"yes","no")</f>
        <v>yes</v>
      </c>
    </row>
    <row r="236" spans="1:9">
      <c r="A236" s="8" t="s">
        <v>17</v>
      </c>
      <c r="B236" s="35" t="s">
        <v>19</v>
      </c>
      <c r="C236" s="49">
        <v>43948</v>
      </c>
      <c r="D236" s="51" t="s">
        <v>319</v>
      </c>
      <c r="E236" s="3">
        <v>27284.87</v>
      </c>
      <c r="F236" s="9" t="s">
        <v>72</v>
      </c>
      <c r="G236" s="9" t="str">
        <f>IF(IFERROR(VLOOKUP(D236,Payments!G:G,1,FALSE),"UNPAID")=D236,"yes","no")</f>
        <v>yes</v>
      </c>
      <c r="H236" s="24">
        <v>766.15</v>
      </c>
    </row>
    <row r="237" spans="1:9">
      <c r="A237" s="8" t="s">
        <v>17</v>
      </c>
      <c r="B237" s="35" t="s">
        <v>20</v>
      </c>
      <c r="C237" s="49">
        <v>43948</v>
      </c>
      <c r="D237" s="51" t="s">
        <v>320</v>
      </c>
      <c r="E237" s="3">
        <f>5*125</f>
        <v>625</v>
      </c>
      <c r="F237" s="9" t="s">
        <v>74</v>
      </c>
      <c r="G237" s="9" t="str">
        <f>IF(IFERROR(VLOOKUP(D237,Payments!G:G,1,FALSE),"UNPAID")=D237,"yes","no")</f>
        <v>yes</v>
      </c>
    </row>
    <row r="238" spans="1:9">
      <c r="A238" s="8" t="s">
        <v>17</v>
      </c>
      <c r="B238" s="35" t="s">
        <v>21</v>
      </c>
      <c r="C238" s="49">
        <v>43933</v>
      </c>
      <c r="D238" s="51" t="s">
        <v>321</v>
      </c>
      <c r="E238" s="3">
        <v>9581.7099999999991</v>
      </c>
      <c r="F238" s="9" t="s">
        <v>72</v>
      </c>
      <c r="G238" s="9" t="str">
        <f>IF(IFERROR(VLOOKUP(D238,Payments!G:G,1,FALSE),"UNPAID")=D238,"yes","no")</f>
        <v>yes</v>
      </c>
      <c r="H238" s="24">
        <v>856.04</v>
      </c>
    </row>
    <row r="239" spans="1:9">
      <c r="A239" s="8" t="s">
        <v>17</v>
      </c>
      <c r="B239" s="35" t="s">
        <v>21</v>
      </c>
      <c r="C239" s="49">
        <v>43933</v>
      </c>
      <c r="D239" s="51" t="s">
        <v>322</v>
      </c>
      <c r="E239" s="3">
        <f>44*125</f>
        <v>5500</v>
      </c>
      <c r="F239" s="9" t="s">
        <v>74</v>
      </c>
      <c r="G239" s="9" t="str">
        <f>IF(IFERROR(VLOOKUP(D239,Payments!G:G,1,FALSE),"UNPAID")=D239,"yes","no")</f>
        <v>yes</v>
      </c>
    </row>
    <row r="240" spans="1:9">
      <c r="A240" s="8" t="s">
        <v>17</v>
      </c>
      <c r="B240" s="35" t="s">
        <v>21</v>
      </c>
      <c r="C240" s="49">
        <v>43948</v>
      </c>
      <c r="D240" s="51" t="s">
        <v>323</v>
      </c>
      <c r="E240" s="3">
        <v>6892.72</v>
      </c>
      <c r="F240" s="9" t="s">
        <v>72</v>
      </c>
      <c r="G240" s="9" t="str">
        <f>IF(IFERROR(VLOOKUP(D240,Payments!G:G,1,FALSE),"UNPAID")=D240,"yes","no")</f>
        <v>no</v>
      </c>
      <c r="H240" s="24">
        <v>894.47</v>
      </c>
    </row>
    <row r="241" spans="1:9">
      <c r="A241" s="8" t="s">
        <v>17</v>
      </c>
      <c r="B241" s="35" t="s">
        <v>22</v>
      </c>
      <c r="C241" s="49">
        <v>43948</v>
      </c>
      <c r="D241" s="51" t="s">
        <v>324</v>
      </c>
      <c r="E241" s="3">
        <v>5590.9</v>
      </c>
      <c r="F241" s="9" t="s">
        <v>72</v>
      </c>
      <c r="G241" s="9" t="str">
        <f>IF(IFERROR(VLOOKUP(D241,Payments!G:G,1,FALSE),"UNPAID")=D241,"yes","no")</f>
        <v>yes</v>
      </c>
    </row>
    <row r="242" spans="1:9">
      <c r="A242" s="8" t="s">
        <v>17</v>
      </c>
      <c r="B242" s="35" t="s">
        <v>22</v>
      </c>
      <c r="C242" s="49">
        <v>43948</v>
      </c>
      <c r="D242" s="51" t="s">
        <v>325</v>
      </c>
      <c r="E242" s="3">
        <f>242.75*125</f>
        <v>30343.75</v>
      </c>
      <c r="F242" s="9" t="s">
        <v>74</v>
      </c>
      <c r="G242" s="9" t="str">
        <f>IF(IFERROR(VLOOKUP(D242,Payments!G:G,1,FALSE),"UNPAID")=D242,"yes","no")</f>
        <v>yes</v>
      </c>
    </row>
    <row r="243" spans="1:9">
      <c r="A243" s="8" t="s">
        <v>17</v>
      </c>
      <c r="B243" s="35" t="s">
        <v>22</v>
      </c>
      <c r="C243" s="49">
        <v>43948</v>
      </c>
      <c r="D243" s="51" t="s">
        <v>326</v>
      </c>
      <c r="E243" s="3">
        <v>2984.8</v>
      </c>
      <c r="F243" s="9" t="s">
        <v>327</v>
      </c>
      <c r="G243" s="9" t="str">
        <f>IF(IFERROR(VLOOKUP(D243,Payments!G:G,1,FALSE),"UNPAID")=D243,"yes","no")</f>
        <v>no</v>
      </c>
    </row>
    <row r="244" spans="1:9">
      <c r="A244" s="8" t="s">
        <v>17</v>
      </c>
      <c r="B244" s="35" t="s">
        <v>23</v>
      </c>
      <c r="C244" s="49">
        <v>43948</v>
      </c>
      <c r="D244" s="51" t="s">
        <v>328</v>
      </c>
      <c r="E244" s="3">
        <v>3664.26</v>
      </c>
      <c r="F244" s="9" t="s">
        <v>77</v>
      </c>
      <c r="G244" s="9" t="str">
        <f>IF(IFERROR(VLOOKUP(D244,Payments!G:G,1,FALSE),"UNPAID")=D244,"yes","no")</f>
        <v>yes</v>
      </c>
    </row>
    <row r="245" spans="1:9">
      <c r="A245" s="8" t="s">
        <v>17</v>
      </c>
      <c r="B245" s="35" t="s">
        <v>23</v>
      </c>
      <c r="C245" s="49">
        <v>43948</v>
      </c>
      <c r="D245" s="51" t="s">
        <v>329</v>
      </c>
      <c r="E245" s="3">
        <v>1573.6</v>
      </c>
      <c r="F245" s="9" t="s">
        <v>327</v>
      </c>
      <c r="G245" s="9" t="str">
        <f>IF(IFERROR(VLOOKUP(D245,Payments!G:G,1,FALSE),"UNPAID")=D245,"yes","no")</f>
        <v>no</v>
      </c>
    </row>
    <row r="246" spans="1:9">
      <c r="A246" s="8" t="s">
        <v>17</v>
      </c>
      <c r="B246" s="35" t="s">
        <v>24</v>
      </c>
      <c r="C246" s="49">
        <v>43948</v>
      </c>
      <c r="D246" s="51" t="s">
        <v>330</v>
      </c>
      <c r="E246" s="3">
        <f>2*125</f>
        <v>250</v>
      </c>
      <c r="F246" s="9" t="s">
        <v>74</v>
      </c>
      <c r="G246" s="9" t="str">
        <f>IF(IFERROR(VLOOKUP(D246,Payments!G:G,1,FALSE),"UNPAID")=D246,"yes","no")</f>
        <v>yes</v>
      </c>
    </row>
    <row r="247" spans="1:9">
      <c r="A247" s="8" t="s">
        <v>17</v>
      </c>
      <c r="B247" s="35" t="s">
        <v>25</v>
      </c>
      <c r="C247" s="49">
        <v>43948</v>
      </c>
      <c r="D247" s="51" t="s">
        <v>331</v>
      </c>
      <c r="E247" s="19">
        <v>62.5</v>
      </c>
      <c r="F247" s="9" t="s">
        <v>74</v>
      </c>
      <c r="G247" s="9" t="str">
        <f>IF(IFERROR(VLOOKUP(D247,Payments!G:G,1,FALSE),"UNPAID")=D247,"yes","no")</f>
        <v>yes</v>
      </c>
      <c r="I247" s="26" t="s">
        <v>332</v>
      </c>
    </row>
    <row r="248" spans="1:9">
      <c r="B248" s="35" t="s">
        <v>31</v>
      </c>
      <c r="C248" s="49">
        <v>43948</v>
      </c>
      <c r="D248" s="51" t="s">
        <v>333</v>
      </c>
      <c r="E248" s="3">
        <v>3403.52</v>
      </c>
      <c r="F248" s="9" t="s">
        <v>72</v>
      </c>
      <c r="G248" s="9" t="str">
        <f>IF(IFERROR(VLOOKUP(D248,Payments!G:G,1,FALSE),"UNPAID")=D248,"yes","no")</f>
        <v>yes</v>
      </c>
      <c r="H248" s="24">
        <v>133.11000000000001</v>
      </c>
    </row>
    <row r="249" spans="1:9">
      <c r="B249" s="35" t="s">
        <v>31</v>
      </c>
      <c r="C249" s="49">
        <v>43948</v>
      </c>
      <c r="D249" s="51" t="s">
        <v>334</v>
      </c>
      <c r="E249" s="3">
        <f>2.75*110</f>
        <v>302.5</v>
      </c>
      <c r="F249" s="9" t="s">
        <v>74</v>
      </c>
      <c r="G249" s="9" t="str">
        <f>IF(IFERROR(VLOOKUP(D249,Payments!G:G,1,FALSE),"UNPAID")=D249,"yes","no")</f>
        <v>yes</v>
      </c>
    </row>
    <row r="250" spans="1:9">
      <c r="B250" s="35" t="s">
        <v>32</v>
      </c>
      <c r="C250" s="49">
        <v>43948</v>
      </c>
      <c r="D250" s="51" t="s">
        <v>335</v>
      </c>
      <c r="E250" s="3">
        <v>70.760000000000005</v>
      </c>
      <c r="F250" s="9" t="s">
        <v>72</v>
      </c>
      <c r="G250" s="9" t="str">
        <f>IF(IFERROR(VLOOKUP(D250,Payments!G:G,1,FALSE),"UNPAID")=D250,"yes","no")</f>
        <v>yes</v>
      </c>
      <c r="I250" s="25" t="s">
        <v>336</v>
      </c>
    </row>
    <row r="251" spans="1:9">
      <c r="B251" s="34" t="s">
        <v>119</v>
      </c>
      <c r="C251" s="49">
        <v>43933</v>
      </c>
      <c r="D251" s="51" t="s">
        <v>337</v>
      </c>
      <c r="E251" s="3">
        <v>2174.3000000000002</v>
      </c>
      <c r="F251" s="9" t="s">
        <v>72</v>
      </c>
      <c r="G251" s="9" t="str">
        <f>IF(IFERROR(VLOOKUP(D251,Payments!G:G,1,FALSE),"UNPAID")=D251,"yes","no")</f>
        <v>yes</v>
      </c>
      <c r="H251" s="24">
        <v>140</v>
      </c>
    </row>
    <row r="252" spans="1:9">
      <c r="B252" s="34" t="s">
        <v>119</v>
      </c>
      <c r="C252" s="49">
        <v>43948</v>
      </c>
      <c r="D252" s="51" t="s">
        <v>338</v>
      </c>
      <c r="E252" s="3">
        <v>9722.5499999999993</v>
      </c>
      <c r="F252" s="9" t="s">
        <v>72</v>
      </c>
      <c r="G252" s="9" t="str">
        <f>IF(IFERROR(VLOOKUP(D252,Payments!G:G,1,FALSE),"UNPAID")=D252,"yes","no")</f>
        <v>yes</v>
      </c>
      <c r="H252" s="24">
        <v>140</v>
      </c>
    </row>
    <row r="253" spans="1:9">
      <c r="B253" s="35" t="s">
        <v>37</v>
      </c>
      <c r="C253" s="49">
        <v>43948</v>
      </c>
      <c r="D253" s="51" t="s">
        <v>339</v>
      </c>
      <c r="E253" s="3">
        <v>24906.400000000001</v>
      </c>
      <c r="F253" s="9" t="s">
        <v>72</v>
      </c>
      <c r="G253" s="9" t="str">
        <f>IF(IFERROR(VLOOKUP(D253,Payments!G:G,1,FALSE),"UNPAID")=D253,"yes","no")</f>
        <v>yes</v>
      </c>
      <c r="H253" s="24">
        <v>2463.84</v>
      </c>
    </row>
    <row r="254" spans="1:9">
      <c r="B254" s="35" t="s">
        <v>37</v>
      </c>
      <c r="C254" s="49">
        <v>43948</v>
      </c>
      <c r="D254" s="51" t="s">
        <v>340</v>
      </c>
      <c r="E254" s="3">
        <f>84.5*150</f>
        <v>12675</v>
      </c>
      <c r="F254" s="9" t="s">
        <v>74</v>
      </c>
      <c r="G254" s="9" t="str">
        <f>IF(IFERROR(VLOOKUP(D254,Payments!G:G,1,FALSE),"UNPAID")=D254,"yes","no")</f>
        <v>yes</v>
      </c>
    </row>
    <row r="255" spans="1:9">
      <c r="B255" s="35" t="s">
        <v>39</v>
      </c>
      <c r="C255" s="49">
        <v>43948</v>
      </c>
      <c r="D255" s="51" t="s">
        <v>341</v>
      </c>
      <c r="E255" s="3">
        <v>4069</v>
      </c>
      <c r="F255" s="9" t="s">
        <v>72</v>
      </c>
      <c r="G255" s="9" t="str">
        <f>IF(IFERROR(VLOOKUP(D255,Payments!G:G,1,FALSE),"UNPAID")=D255,"yes","no")</f>
        <v>yes</v>
      </c>
    </row>
    <row r="256" spans="1:9">
      <c r="B256" s="35" t="s">
        <v>39</v>
      </c>
      <c r="C256" s="49">
        <v>43948</v>
      </c>
      <c r="D256" s="51" t="s">
        <v>342</v>
      </c>
      <c r="E256" s="3">
        <v>500</v>
      </c>
      <c r="F256" s="9" t="s">
        <v>74</v>
      </c>
      <c r="G256" s="9" t="str">
        <f>IF(IFERROR(VLOOKUP(D256,Payments!G:G,1,FALSE),"UNPAID")=D256,"yes","no")</f>
        <v>yes</v>
      </c>
    </row>
    <row r="257" spans="1:8">
      <c r="B257" s="35" t="s">
        <v>40</v>
      </c>
      <c r="C257" s="49">
        <v>43948</v>
      </c>
      <c r="D257" s="51" t="s">
        <v>343</v>
      </c>
      <c r="E257" s="3">
        <v>804.55</v>
      </c>
      <c r="F257" s="9" t="s">
        <v>72</v>
      </c>
      <c r="G257" s="9" t="str">
        <f>IF(IFERROR(VLOOKUP(D257,Payments!G:G,1,FALSE),"UNPAID")=D257,"yes","no")</f>
        <v>yes</v>
      </c>
    </row>
    <row r="258" spans="1:8">
      <c r="B258" s="35" t="s">
        <v>41</v>
      </c>
      <c r="C258" s="49">
        <v>43948</v>
      </c>
      <c r="D258" s="51" t="s">
        <v>344</v>
      </c>
      <c r="E258" s="3">
        <v>1004.5</v>
      </c>
      <c r="F258" s="9" t="s">
        <v>72</v>
      </c>
      <c r="G258" s="9" t="str">
        <f>IF(IFERROR(VLOOKUP(D258,Payments!G:G,1,FALSE),"UNPAID")=D258,"yes","no")</f>
        <v>yes</v>
      </c>
    </row>
    <row r="259" spans="1:8">
      <c r="B259" s="35" t="s">
        <v>41</v>
      </c>
      <c r="C259" s="49">
        <v>43948</v>
      </c>
      <c r="D259" s="51" t="s">
        <v>345</v>
      </c>
      <c r="E259" s="3">
        <v>500</v>
      </c>
      <c r="F259" s="9" t="s">
        <v>74</v>
      </c>
      <c r="G259" s="9" t="str">
        <f>IF(IFERROR(VLOOKUP(D259,Payments!G:G,1,FALSE),"UNPAID")=D259,"yes","no")</f>
        <v>yes</v>
      </c>
    </row>
    <row r="260" spans="1:8">
      <c r="B260" s="35" t="s">
        <v>131</v>
      </c>
      <c r="C260" s="49">
        <v>43948</v>
      </c>
      <c r="D260" s="51" t="s">
        <v>346</v>
      </c>
      <c r="E260" s="3">
        <v>16940.91</v>
      </c>
      <c r="F260" s="9" t="s">
        <v>72</v>
      </c>
      <c r="G260" s="9" t="str">
        <f>IF(IFERROR(VLOOKUP(D260,Payments!G:G,1,FALSE),"UNPAID")=D260,"yes","no")</f>
        <v>yes</v>
      </c>
      <c r="H260" s="24">
        <v>36.590000000000003</v>
      </c>
    </row>
    <row r="261" spans="1:8">
      <c r="B261" s="35" t="s">
        <v>131</v>
      </c>
      <c r="C261" s="49">
        <v>43948</v>
      </c>
      <c r="D261" s="51" t="s">
        <v>347</v>
      </c>
      <c r="E261" s="3">
        <v>20833.330000000002</v>
      </c>
      <c r="F261" s="9" t="s">
        <v>74</v>
      </c>
      <c r="G261" s="9" t="str">
        <f>IF(IFERROR(VLOOKUP(D261,Payments!G:G,1,FALSE),"UNPAID")=D261,"yes","no")</f>
        <v>yes</v>
      </c>
    </row>
    <row r="262" spans="1:8">
      <c r="B262" s="34" t="s">
        <v>52</v>
      </c>
      <c r="C262" s="49">
        <v>43948</v>
      </c>
      <c r="D262" s="51" t="s">
        <v>348</v>
      </c>
      <c r="E262" s="3">
        <v>1200.4000000000001</v>
      </c>
      <c r="F262" s="9" t="s">
        <v>204</v>
      </c>
      <c r="G262" s="9" t="str">
        <f>IF(IFERROR(VLOOKUP(D262,Payments!G:G,1,FALSE),"UNPAID")=D262,"yes","no")</f>
        <v>yes</v>
      </c>
    </row>
    <row r="263" spans="1:8">
      <c r="B263" s="35" t="s">
        <v>53</v>
      </c>
      <c r="C263" s="49">
        <v>43948</v>
      </c>
      <c r="D263" s="51" t="s">
        <v>349</v>
      </c>
      <c r="E263" s="3">
        <v>1120</v>
      </c>
      <c r="F263" s="9" t="s">
        <v>204</v>
      </c>
      <c r="G263" s="9" t="str">
        <f>IF(IFERROR(VLOOKUP(D263,Payments!G:G,1,FALSE),"UNPAID")=D263,"yes","no")</f>
        <v>yes</v>
      </c>
    </row>
    <row r="264" spans="1:8">
      <c r="B264" s="22" t="s">
        <v>54</v>
      </c>
      <c r="C264" s="49">
        <v>43948</v>
      </c>
      <c r="D264" s="51" t="s">
        <v>350</v>
      </c>
      <c r="E264" s="4">
        <v>371.1</v>
      </c>
      <c r="F264" s="9" t="s">
        <v>204</v>
      </c>
      <c r="G264" s="9" t="str">
        <f>IF(IFERROR(VLOOKUP(D264,Payments!G:G,1,FALSE),"UNPAID")=D264,"yes","no")</f>
        <v>yes</v>
      </c>
    </row>
    <row r="265" spans="1:8">
      <c r="B265" s="35" t="s">
        <v>57</v>
      </c>
      <c r="C265" s="49">
        <v>43948</v>
      </c>
      <c r="D265" s="51" t="s">
        <v>351</v>
      </c>
      <c r="E265" s="3">
        <v>70</v>
      </c>
      <c r="F265" s="9" t="s">
        <v>204</v>
      </c>
      <c r="G265" s="9" t="str">
        <f>IF(IFERROR(VLOOKUP(D265,Payments!G:G,1,FALSE),"UNPAID")=D265,"yes","no")</f>
        <v>yes</v>
      </c>
    </row>
    <row r="266" spans="1:8">
      <c r="B266" s="35" t="s">
        <v>58</v>
      </c>
      <c r="C266" s="49">
        <v>43948</v>
      </c>
      <c r="D266" s="51" t="s">
        <v>352</v>
      </c>
      <c r="E266" s="3">
        <v>50</v>
      </c>
      <c r="F266" s="9" t="s">
        <v>204</v>
      </c>
      <c r="G266" s="9" t="str">
        <f>IF(IFERROR(VLOOKUP(D266,Payments!G:G,1,FALSE),"UNPAID")=D266,"yes","no")</f>
        <v>yes</v>
      </c>
    </row>
    <row r="267" spans="1:8">
      <c r="B267" s="34" t="s">
        <v>59</v>
      </c>
      <c r="C267" s="49">
        <v>43948</v>
      </c>
      <c r="D267" s="51" t="s">
        <v>353</v>
      </c>
      <c r="E267" s="3">
        <v>780.4</v>
      </c>
      <c r="F267" s="9" t="s">
        <v>204</v>
      </c>
      <c r="G267" s="9" t="str">
        <f>IF(IFERROR(VLOOKUP(D267,Payments!G:G,1,FALSE),"UNPAID")=D267,"yes","no")</f>
        <v>yes</v>
      </c>
    </row>
    <row r="268" spans="1:8">
      <c r="B268" s="35" t="s">
        <v>60</v>
      </c>
      <c r="C268" s="49">
        <v>43948</v>
      </c>
      <c r="D268" s="51" t="s">
        <v>354</v>
      </c>
      <c r="E268" s="23">
        <v>1160</v>
      </c>
      <c r="F268" s="9" t="s">
        <v>204</v>
      </c>
      <c r="G268" s="9" t="str">
        <f>IF(IFERROR(VLOOKUP(D268,Payments!G:G,1,FALSE),"UNPAID")=D268,"yes","no")</f>
        <v>yes</v>
      </c>
    </row>
    <row r="269" spans="1:8">
      <c r="B269" s="35" t="s">
        <v>61</v>
      </c>
      <c r="C269" s="49">
        <v>43948</v>
      </c>
      <c r="D269" s="51" t="s">
        <v>355</v>
      </c>
      <c r="E269" s="3">
        <v>1160</v>
      </c>
      <c r="F269" s="9" t="s">
        <v>204</v>
      </c>
      <c r="G269" s="9" t="str">
        <f>IF(IFERROR(VLOOKUP(D269,Payments!G:G,1,FALSE),"UNPAID")=D269,"yes","no")</f>
        <v>no</v>
      </c>
    </row>
    <row r="270" spans="1:8">
      <c r="B270" s="34" t="s">
        <v>62</v>
      </c>
      <c r="C270" s="49">
        <v>43948</v>
      </c>
      <c r="D270" s="51" t="s">
        <v>356</v>
      </c>
      <c r="E270" s="3">
        <v>120.1</v>
      </c>
      <c r="F270" s="9" t="s">
        <v>204</v>
      </c>
      <c r="G270" s="9" t="str">
        <f>IF(IFERROR(VLOOKUP(D270,Payments!G:G,1,FALSE),"UNPAID")=D270,"yes","no")</f>
        <v>yes</v>
      </c>
    </row>
    <row r="271" spans="1:8">
      <c r="B271" s="35" t="s">
        <v>63</v>
      </c>
      <c r="C271" s="49">
        <v>43948</v>
      </c>
      <c r="D271" s="51" t="s">
        <v>357</v>
      </c>
      <c r="E271" s="3">
        <v>490</v>
      </c>
      <c r="F271" s="9" t="s">
        <v>204</v>
      </c>
      <c r="G271" s="9" t="str">
        <f>IF(IFERROR(VLOOKUP(D271,Payments!G:G,1,FALSE),"UNPAID")=D271,"yes","no")</f>
        <v>yes</v>
      </c>
    </row>
    <row r="272" spans="1:8">
      <c r="A272" s="8" t="s">
        <v>70</v>
      </c>
      <c r="B272" s="34" t="s">
        <v>6</v>
      </c>
      <c r="C272" s="49">
        <v>43963</v>
      </c>
      <c r="D272" s="11" t="s">
        <v>358</v>
      </c>
      <c r="E272" s="3">
        <v>22314.98</v>
      </c>
      <c r="F272" s="9" t="s">
        <v>72</v>
      </c>
      <c r="G272" s="9" t="str">
        <f>IF(IFERROR(VLOOKUP(D272,Payments!G:G,1,FALSE),"UNPAID")=D272,"yes","no")</f>
        <v>yes</v>
      </c>
      <c r="H272" s="24">
        <v>2089.4499999999998</v>
      </c>
    </row>
    <row r="273" spans="1:9">
      <c r="A273" s="8" t="s">
        <v>70</v>
      </c>
      <c r="B273" s="34" t="s">
        <v>6</v>
      </c>
      <c r="C273" s="49">
        <v>43963</v>
      </c>
      <c r="D273" s="11" t="s">
        <v>359</v>
      </c>
      <c r="E273" s="3">
        <f>113.25*110</f>
        <v>12457.5</v>
      </c>
      <c r="F273" s="9" t="s">
        <v>74</v>
      </c>
      <c r="G273" s="9" t="str">
        <f>IF(IFERROR(VLOOKUP(D273,Payments!G:G,1,FALSE),"UNPAID")=D273,"yes","no")</f>
        <v>yes</v>
      </c>
    </row>
    <row r="274" spans="1:9">
      <c r="A274" s="8" t="s">
        <v>70</v>
      </c>
      <c r="B274" s="34" t="s">
        <v>6</v>
      </c>
      <c r="C274" s="49">
        <v>43978</v>
      </c>
      <c r="D274" s="11" t="s">
        <v>360</v>
      </c>
      <c r="E274" s="3">
        <v>24111.99</v>
      </c>
      <c r="F274" s="9" t="s">
        <v>72</v>
      </c>
      <c r="G274" s="9" t="str">
        <f>IF(IFERROR(VLOOKUP(D274,Payments!G:G,1,FALSE),"UNPAID")=D274,"yes","no")</f>
        <v>yes</v>
      </c>
      <c r="H274" s="24">
        <v>2535.75</v>
      </c>
    </row>
    <row r="275" spans="1:9">
      <c r="A275" s="8" t="s">
        <v>70</v>
      </c>
      <c r="B275" s="34" t="s">
        <v>7</v>
      </c>
      <c r="C275" s="49">
        <v>43963</v>
      </c>
      <c r="D275" s="11" t="s">
        <v>361</v>
      </c>
      <c r="E275" s="3">
        <v>17541.66</v>
      </c>
      <c r="F275" s="9" t="s">
        <v>72</v>
      </c>
      <c r="G275" s="9" t="str">
        <f>IF(IFERROR(VLOOKUP(D275,Payments!G:G,1,FALSE),"UNPAID")=D275,"yes","no")</f>
        <v>yes</v>
      </c>
      <c r="H275" s="24">
        <v>871.83</v>
      </c>
    </row>
    <row r="276" spans="1:9">
      <c r="A276" s="8" t="s">
        <v>70</v>
      </c>
      <c r="B276" s="34" t="s">
        <v>7</v>
      </c>
      <c r="C276" s="49">
        <v>43963</v>
      </c>
      <c r="D276" s="11" t="s">
        <v>362</v>
      </c>
      <c r="E276" s="3">
        <f>106.25*110</f>
        <v>11687.5</v>
      </c>
      <c r="F276" s="9" t="s">
        <v>74</v>
      </c>
      <c r="G276" s="9" t="str">
        <f>IF(IFERROR(VLOOKUP(D276,Payments!G:G,1,FALSE),"UNPAID")=D276,"yes","no")</f>
        <v>yes</v>
      </c>
    </row>
    <row r="277" spans="1:9">
      <c r="A277" s="8" t="s">
        <v>70</v>
      </c>
      <c r="B277" s="34" t="s">
        <v>7</v>
      </c>
      <c r="C277" s="49">
        <v>43978</v>
      </c>
      <c r="D277" s="11" t="s">
        <v>363</v>
      </c>
      <c r="E277" s="3">
        <v>16201.05</v>
      </c>
      <c r="F277" s="9" t="s">
        <v>72</v>
      </c>
      <c r="G277" s="9" t="str">
        <f>IF(IFERROR(VLOOKUP(D277,Payments!G:G,1,FALSE),"UNPAID")=D277,"yes","no")</f>
        <v>yes</v>
      </c>
      <c r="H277" s="24">
        <v>1576.3</v>
      </c>
    </row>
    <row r="278" spans="1:9">
      <c r="A278" s="8" t="s">
        <v>70</v>
      </c>
      <c r="B278" s="35" t="s">
        <v>8</v>
      </c>
      <c r="C278" s="49">
        <v>43978</v>
      </c>
      <c r="D278" s="12" t="s">
        <v>364</v>
      </c>
      <c r="E278" s="3">
        <v>7351.11</v>
      </c>
      <c r="F278" s="9" t="s">
        <v>72</v>
      </c>
      <c r="G278" s="9" t="str">
        <f>IF(IFERROR(VLOOKUP(D278,Payments!G:G,1,FALSE),"UNPAID")=D278,"yes","no")</f>
        <v>yes</v>
      </c>
      <c r="H278" s="24">
        <v>1429.03</v>
      </c>
      <c r="I278" s="23" t="s">
        <v>365</v>
      </c>
    </row>
    <row r="279" spans="1:9">
      <c r="A279" s="8" t="s">
        <v>70</v>
      </c>
      <c r="B279" s="35" t="s">
        <v>8</v>
      </c>
      <c r="C279" s="49">
        <v>43978</v>
      </c>
      <c r="D279" s="12" t="s">
        <v>366</v>
      </c>
      <c r="E279" s="3">
        <f>17.75*110</f>
        <v>1952.5</v>
      </c>
      <c r="F279" s="9" t="s">
        <v>74</v>
      </c>
      <c r="G279" s="9" t="str">
        <f>IF(IFERROR(VLOOKUP(D279,Payments!G:G,1,FALSE),"UNPAID")=D279,"yes","no")</f>
        <v>yes</v>
      </c>
    </row>
    <row r="280" spans="1:9">
      <c r="A280" s="8" t="s">
        <v>70</v>
      </c>
      <c r="B280" s="35" t="s">
        <v>9</v>
      </c>
      <c r="C280" s="49">
        <v>43978</v>
      </c>
      <c r="D280" s="12" t="s">
        <v>367</v>
      </c>
      <c r="E280" s="3">
        <v>1927</v>
      </c>
      <c r="F280" s="9" t="s">
        <v>72</v>
      </c>
      <c r="G280" s="9" t="str">
        <f>IF(IFERROR(VLOOKUP(D280,Payments!G:G,1,FALSE),"UNPAID")=D280,"yes","no")</f>
        <v>yes</v>
      </c>
      <c r="H280" s="24">
        <v>92.34</v>
      </c>
    </row>
    <row r="281" spans="1:9">
      <c r="A281" s="8" t="s">
        <v>70</v>
      </c>
      <c r="B281" s="35" t="s">
        <v>9</v>
      </c>
      <c r="C281" s="49">
        <v>43978</v>
      </c>
      <c r="D281" s="12" t="s">
        <v>368</v>
      </c>
      <c r="E281" s="3">
        <f>7*110</f>
        <v>770</v>
      </c>
      <c r="F281" s="9" t="s">
        <v>74</v>
      </c>
      <c r="G281" s="9" t="str">
        <f>IF(IFERROR(VLOOKUP(D281,Payments!G:G,1,FALSE),"UNPAID")=D281,"yes","no")</f>
        <v>yes</v>
      </c>
    </row>
    <row r="282" spans="1:9">
      <c r="A282" s="8" t="s">
        <v>70</v>
      </c>
      <c r="B282" s="34" t="s">
        <v>10</v>
      </c>
      <c r="C282" s="49">
        <v>43978</v>
      </c>
      <c r="D282" s="50" t="s">
        <v>369</v>
      </c>
      <c r="E282" s="3">
        <v>212.79</v>
      </c>
      <c r="F282" s="9" t="s">
        <v>72</v>
      </c>
      <c r="G282" s="9" t="str">
        <f>IF(IFERROR(VLOOKUP(D282,Payments!G:G,1,FALSE),"UNPAID")=D282,"yes","no")</f>
        <v>yes</v>
      </c>
      <c r="H282" s="24">
        <v>89.85</v>
      </c>
    </row>
    <row r="283" spans="1:9">
      <c r="A283" s="8" t="s">
        <v>70</v>
      </c>
      <c r="B283" s="34" t="s">
        <v>10</v>
      </c>
      <c r="C283" s="49">
        <v>43978</v>
      </c>
      <c r="D283" s="50" t="s">
        <v>370</v>
      </c>
      <c r="E283" s="3">
        <f>8.5*110</f>
        <v>935</v>
      </c>
      <c r="F283" s="9" t="s">
        <v>74</v>
      </c>
      <c r="G283" s="9" t="str">
        <f>IF(IFERROR(VLOOKUP(D283,Payments!G:G,1,FALSE),"UNPAID")=D283,"yes","no")</f>
        <v>yes</v>
      </c>
    </row>
    <row r="284" spans="1:9">
      <c r="A284" s="8" t="s">
        <v>70</v>
      </c>
      <c r="B284" s="34" t="s">
        <v>11</v>
      </c>
      <c r="C284" s="49">
        <v>43978</v>
      </c>
      <c r="D284" s="51" t="s">
        <v>371</v>
      </c>
      <c r="E284" s="3">
        <v>3262.21</v>
      </c>
      <c r="F284" s="9" t="s">
        <v>72</v>
      </c>
      <c r="G284" s="9" t="str">
        <f>IF(IFERROR(VLOOKUP(D284,Payments!G:G,1,FALSE),"UNPAID")=D284,"yes","no")</f>
        <v>yes</v>
      </c>
      <c r="H284" s="24">
        <v>76.12</v>
      </c>
    </row>
    <row r="285" spans="1:9">
      <c r="A285" s="8" t="s">
        <v>70</v>
      </c>
      <c r="B285" s="34" t="s">
        <v>11</v>
      </c>
      <c r="C285" s="49">
        <v>43978</v>
      </c>
      <c r="D285" s="51" t="s">
        <v>372</v>
      </c>
      <c r="E285" s="3">
        <f>9*110</f>
        <v>990</v>
      </c>
      <c r="F285" s="9" t="s">
        <v>74</v>
      </c>
      <c r="G285" s="9" t="str">
        <f>IF(IFERROR(VLOOKUP(D285,Payments!G:G,1,FALSE),"UNPAID")=D285,"yes","no")</f>
        <v>yes</v>
      </c>
    </row>
    <row r="286" spans="1:9">
      <c r="A286" s="8" t="s">
        <v>70</v>
      </c>
      <c r="B286" s="35" t="s">
        <v>12</v>
      </c>
      <c r="C286" s="49">
        <v>43978</v>
      </c>
      <c r="D286" s="51" t="s">
        <v>373</v>
      </c>
      <c r="E286" s="3">
        <v>845.98</v>
      </c>
      <c r="F286" s="9" t="s">
        <v>72</v>
      </c>
      <c r="G286" s="9" t="str">
        <f>IF(IFERROR(VLOOKUP(D286,Payments!G:G,1,FALSE),"UNPAID")=D286,"yes","no")</f>
        <v>yes</v>
      </c>
      <c r="H286" s="24"/>
    </row>
    <row r="287" spans="1:9">
      <c r="A287" s="8" t="s">
        <v>70</v>
      </c>
      <c r="B287" s="35" t="s">
        <v>12</v>
      </c>
      <c r="C287" s="49">
        <v>43978</v>
      </c>
      <c r="D287" s="51" t="s">
        <v>374</v>
      </c>
      <c r="E287" s="3">
        <f>5*110</f>
        <v>550</v>
      </c>
      <c r="F287" s="9" t="s">
        <v>74</v>
      </c>
      <c r="G287" s="9" t="str">
        <f>IF(IFERROR(VLOOKUP(D287,Payments!G:G,1,FALSE),"UNPAID")=D287,"yes","no")</f>
        <v>yes</v>
      </c>
    </row>
    <row r="288" spans="1:9">
      <c r="A288" s="8" t="s">
        <v>70</v>
      </c>
      <c r="B288" s="35" t="s">
        <v>13</v>
      </c>
      <c r="C288" s="49">
        <v>43978</v>
      </c>
      <c r="D288" s="51" t="s">
        <v>375</v>
      </c>
      <c r="E288" s="3">
        <v>100</v>
      </c>
      <c r="F288" s="9" t="s">
        <v>74</v>
      </c>
      <c r="G288" s="9" t="str">
        <f>IF(IFERROR(VLOOKUP(D288,Payments!G:G,1,FALSE),"UNPAID")=D288,"yes","no")</f>
        <v>yes</v>
      </c>
      <c r="H288" s="24">
        <v>50</v>
      </c>
    </row>
    <row r="289" spans="1:8">
      <c r="A289" s="8" t="s">
        <v>70</v>
      </c>
      <c r="B289" s="35" t="s">
        <v>14</v>
      </c>
      <c r="C289" s="49">
        <v>43978</v>
      </c>
      <c r="D289" s="51" t="s">
        <v>376</v>
      </c>
      <c r="E289" s="3">
        <v>837.27</v>
      </c>
      <c r="F289" s="9" t="s">
        <v>72</v>
      </c>
      <c r="G289" s="9" t="str">
        <f>IF(IFERROR(VLOOKUP(D289,Payments!G:G,1,FALSE),"UNPAID")=D289,"yes","no")</f>
        <v>yes</v>
      </c>
    </row>
    <row r="290" spans="1:8">
      <c r="A290" s="8" t="s">
        <v>70</v>
      </c>
      <c r="B290" s="35" t="s">
        <v>14</v>
      </c>
      <c r="C290" s="49">
        <v>43978</v>
      </c>
      <c r="D290" s="51" t="s">
        <v>377</v>
      </c>
      <c r="E290" s="3">
        <f>3.5*110</f>
        <v>385</v>
      </c>
      <c r="F290" s="9" t="s">
        <v>74</v>
      </c>
      <c r="G290" s="9" t="str">
        <f>IF(IFERROR(VLOOKUP(D290,Payments!G:G,1,FALSE),"UNPAID")=D290,"yes","no")</f>
        <v>yes</v>
      </c>
    </row>
    <row r="291" spans="1:8">
      <c r="A291" s="8" t="s">
        <v>70</v>
      </c>
      <c r="B291" s="35" t="s">
        <v>15</v>
      </c>
      <c r="C291" s="49">
        <v>43978</v>
      </c>
      <c r="D291" s="51" t="s">
        <v>378</v>
      </c>
      <c r="E291" s="3">
        <f>2.75*110</f>
        <v>302.5</v>
      </c>
      <c r="F291" s="9" t="s">
        <v>74</v>
      </c>
      <c r="G291" s="9" t="str">
        <f>IF(IFERROR(VLOOKUP(D291,Payments!G:G,1,FALSE),"UNPAID")=D291,"yes","no")</f>
        <v>yes</v>
      </c>
    </row>
    <row r="292" spans="1:8">
      <c r="A292" s="8" t="s">
        <v>17</v>
      </c>
      <c r="B292" s="34" t="s">
        <v>18</v>
      </c>
      <c r="C292" s="49">
        <v>43963</v>
      </c>
      <c r="D292" s="51" t="s">
        <v>379</v>
      </c>
      <c r="E292" s="3">
        <v>38217.300000000003</v>
      </c>
      <c r="F292" s="9" t="s">
        <v>72</v>
      </c>
      <c r="G292" s="9" t="str">
        <f>IF(IFERROR(VLOOKUP(D292,Payments!G:G,1,FALSE),"UNPAID")=D292,"yes","no")</f>
        <v>yes</v>
      </c>
      <c r="H292" s="24">
        <v>3829.66</v>
      </c>
    </row>
    <row r="293" spans="1:8">
      <c r="A293" s="8" t="s">
        <v>17</v>
      </c>
      <c r="B293" s="34" t="s">
        <v>18</v>
      </c>
      <c r="C293" s="49">
        <v>43963</v>
      </c>
      <c r="D293" s="51" t="s">
        <v>380</v>
      </c>
      <c r="E293" s="3">
        <f>250*125</f>
        <v>31250</v>
      </c>
      <c r="F293" s="9" t="s">
        <v>74</v>
      </c>
      <c r="G293" s="9" t="str">
        <f>IF(IFERROR(VLOOKUP(D293,Payments!G:G,1,FALSE),"UNPAID")=D293,"yes","no")</f>
        <v>yes</v>
      </c>
    </row>
    <row r="294" spans="1:8">
      <c r="A294" s="8" t="s">
        <v>17</v>
      </c>
      <c r="B294" s="34" t="s">
        <v>18</v>
      </c>
      <c r="C294" s="49">
        <v>43978</v>
      </c>
      <c r="D294" s="51" t="s">
        <v>381</v>
      </c>
      <c r="E294" s="3">
        <v>42515.77</v>
      </c>
      <c r="F294" s="9" t="s">
        <v>72</v>
      </c>
      <c r="G294" s="9" t="str">
        <f>IF(IFERROR(VLOOKUP(D294,Payments!G:G,1,FALSE),"UNPAID")=D294,"yes","no")</f>
        <v>yes</v>
      </c>
      <c r="H294" s="24">
        <v>5540.31</v>
      </c>
    </row>
    <row r="295" spans="1:8">
      <c r="A295" s="8" t="s">
        <v>17</v>
      </c>
      <c r="B295" s="35" t="s">
        <v>19</v>
      </c>
      <c r="C295" s="49">
        <v>43963</v>
      </c>
      <c r="D295" s="51" t="s">
        <v>382</v>
      </c>
      <c r="E295" s="3">
        <v>35894.230000000003</v>
      </c>
      <c r="F295" s="9" t="s">
        <v>72</v>
      </c>
      <c r="G295" s="9" t="str">
        <f>IF(IFERROR(VLOOKUP(D295,Payments!G:G,1,FALSE),"UNPAID")=D295,"yes","no")</f>
        <v>yes</v>
      </c>
      <c r="H295" s="24">
        <v>2960.68</v>
      </c>
    </row>
    <row r="296" spans="1:8">
      <c r="A296" s="8" t="s">
        <v>17</v>
      </c>
      <c r="B296" s="35" t="s">
        <v>19</v>
      </c>
      <c r="C296" s="49">
        <v>43963</v>
      </c>
      <c r="D296" s="51" t="s">
        <v>383</v>
      </c>
      <c r="E296" s="3">
        <f>75.75*125</f>
        <v>9468.75</v>
      </c>
      <c r="F296" s="9" t="s">
        <v>74</v>
      </c>
      <c r="G296" s="9" t="str">
        <f>IF(IFERROR(VLOOKUP(D296,Payments!G:G,1,FALSE),"UNPAID")=D296,"yes","no")</f>
        <v>yes</v>
      </c>
    </row>
    <row r="297" spans="1:8">
      <c r="A297" s="8" t="s">
        <v>17</v>
      </c>
      <c r="B297" s="35" t="s">
        <v>19</v>
      </c>
      <c r="C297" s="49">
        <v>43978</v>
      </c>
      <c r="D297" s="51" t="s">
        <v>384</v>
      </c>
      <c r="E297" s="3">
        <v>30478.67</v>
      </c>
      <c r="F297" s="9" t="s">
        <v>72</v>
      </c>
      <c r="G297" s="9" t="str">
        <f>IF(IFERROR(VLOOKUP(D297,Payments!G:G,1,FALSE),"UNPAID")=D297,"yes","no")</f>
        <v>yes</v>
      </c>
      <c r="H297" s="24">
        <v>2026.45</v>
      </c>
    </row>
    <row r="298" spans="1:8">
      <c r="A298" s="8" t="s">
        <v>17</v>
      </c>
      <c r="B298" s="35" t="s">
        <v>20</v>
      </c>
      <c r="C298" s="49">
        <v>43978</v>
      </c>
      <c r="D298" s="51" t="s">
        <v>385</v>
      </c>
      <c r="E298" s="3">
        <f>12*125</f>
        <v>1500</v>
      </c>
      <c r="F298" s="9" t="s">
        <v>74</v>
      </c>
      <c r="G298" s="9" t="str">
        <f>IF(IFERROR(VLOOKUP(D298,Payments!G:G,1,FALSE),"UNPAID")=D298,"yes","no")</f>
        <v>yes</v>
      </c>
    </row>
    <row r="299" spans="1:8">
      <c r="A299" s="8" t="s">
        <v>17</v>
      </c>
      <c r="B299" s="35" t="s">
        <v>21</v>
      </c>
      <c r="C299" s="49">
        <v>43963</v>
      </c>
      <c r="D299" s="51" t="s">
        <v>386</v>
      </c>
      <c r="E299" s="3">
        <v>13662.89</v>
      </c>
      <c r="F299" s="9" t="s">
        <v>72</v>
      </c>
      <c r="G299" s="9" t="str">
        <f>IF(IFERROR(VLOOKUP(D299,Payments!G:G,1,FALSE),"UNPAID")=D299,"yes","no")</f>
        <v>yes</v>
      </c>
      <c r="H299" s="24">
        <v>1080.1300000000001</v>
      </c>
    </row>
    <row r="300" spans="1:8">
      <c r="A300" s="8" t="s">
        <v>17</v>
      </c>
      <c r="B300" s="35" t="s">
        <v>21</v>
      </c>
      <c r="C300" s="49">
        <v>43963</v>
      </c>
      <c r="D300" s="51" t="s">
        <v>387</v>
      </c>
      <c r="E300" s="3">
        <f>35.75*125</f>
        <v>4468.75</v>
      </c>
      <c r="F300" s="9" t="s">
        <v>74</v>
      </c>
      <c r="G300" s="9" t="str">
        <f>IF(IFERROR(VLOOKUP(D300,Payments!G:G,1,FALSE),"UNPAID")=D300,"yes","no")</f>
        <v>no</v>
      </c>
    </row>
    <row r="301" spans="1:8">
      <c r="A301" s="8" t="s">
        <v>17</v>
      </c>
      <c r="B301" s="35" t="s">
        <v>21</v>
      </c>
      <c r="C301" s="49">
        <v>43978</v>
      </c>
      <c r="D301" s="51" t="s">
        <v>388</v>
      </c>
      <c r="E301" s="3">
        <v>17875.560000000001</v>
      </c>
      <c r="F301" s="9" t="s">
        <v>72</v>
      </c>
      <c r="G301" s="9" t="str">
        <f>IF(IFERROR(VLOOKUP(D301,Payments!G:G,1,FALSE),"UNPAID")=D301,"yes","no")</f>
        <v>yes</v>
      </c>
      <c r="H301" s="24">
        <v>521.51</v>
      </c>
    </row>
    <row r="302" spans="1:8">
      <c r="A302" s="8" t="s">
        <v>17</v>
      </c>
      <c r="B302" s="35" t="s">
        <v>22</v>
      </c>
      <c r="C302" s="49">
        <v>43978</v>
      </c>
      <c r="D302" s="51" t="s">
        <v>389</v>
      </c>
      <c r="E302" s="3">
        <v>7274.04</v>
      </c>
      <c r="F302" s="9" t="s">
        <v>72</v>
      </c>
      <c r="G302" s="9" t="str">
        <f>IF(IFERROR(VLOOKUP(D302,Payments!G:G,1,FALSE),"UNPAID")=D302,"yes","no")</f>
        <v>yes</v>
      </c>
    </row>
    <row r="303" spans="1:8">
      <c r="A303" s="8" t="s">
        <v>17</v>
      </c>
      <c r="B303" s="35" t="s">
        <v>22</v>
      </c>
      <c r="C303" s="49">
        <v>43978</v>
      </c>
      <c r="D303" s="51" t="s">
        <v>390</v>
      </c>
      <c r="E303" s="3">
        <f>238*125</f>
        <v>29750</v>
      </c>
      <c r="F303" s="9" t="s">
        <v>74</v>
      </c>
      <c r="G303" s="9" t="str">
        <f>IF(IFERROR(VLOOKUP(D303,Payments!G:G,1,FALSE),"UNPAID")=D303,"yes","no")</f>
        <v>yes</v>
      </c>
    </row>
    <row r="304" spans="1:8">
      <c r="A304" s="8" t="s">
        <v>17</v>
      </c>
      <c r="B304" s="35" t="s">
        <v>22</v>
      </c>
      <c r="C304" s="49">
        <v>43978</v>
      </c>
      <c r="D304" s="51" t="s">
        <v>391</v>
      </c>
      <c r="E304" s="3">
        <v>4598.3999999999996</v>
      </c>
      <c r="F304" s="9" t="s">
        <v>327</v>
      </c>
      <c r="G304" s="9" t="str">
        <f>IF(IFERROR(VLOOKUP(D304,Payments!G:G,1,FALSE),"UNPAID")=D304,"yes","no")</f>
        <v>no</v>
      </c>
    </row>
    <row r="305" spans="1:9">
      <c r="A305" s="8" t="s">
        <v>17</v>
      </c>
      <c r="B305" s="35" t="s">
        <v>23</v>
      </c>
      <c r="C305" s="49">
        <v>43978</v>
      </c>
      <c r="D305" s="51" t="s">
        <v>392</v>
      </c>
      <c r="E305" s="3">
        <v>5077.05</v>
      </c>
      <c r="F305" s="9" t="s">
        <v>72</v>
      </c>
      <c r="G305" s="9" t="str">
        <f>IF(IFERROR(VLOOKUP(D305,Payments!G:G,1,FALSE),"UNPAID")=D305,"yes","no")</f>
        <v>yes</v>
      </c>
    </row>
    <row r="306" spans="1:9">
      <c r="A306" s="8" t="s">
        <v>17</v>
      </c>
      <c r="B306" s="35" t="s">
        <v>23</v>
      </c>
      <c r="C306" s="49">
        <v>43978</v>
      </c>
      <c r="D306" s="51" t="s">
        <v>393</v>
      </c>
      <c r="E306" s="3">
        <v>3298.4</v>
      </c>
      <c r="F306" s="9" t="s">
        <v>327</v>
      </c>
      <c r="G306" s="9" t="str">
        <f>IF(IFERROR(VLOOKUP(D306,Payments!G:G,1,FALSE),"UNPAID")=D306,"yes","no")</f>
        <v>no</v>
      </c>
    </row>
    <row r="307" spans="1:9">
      <c r="A307" s="8" t="s">
        <v>17</v>
      </c>
      <c r="B307" s="35" t="s">
        <v>24</v>
      </c>
      <c r="C307" s="49">
        <v>43978</v>
      </c>
      <c r="D307" s="51" t="s">
        <v>394</v>
      </c>
      <c r="E307" s="3">
        <f>1*125</f>
        <v>125</v>
      </c>
      <c r="F307" s="9" t="s">
        <v>74</v>
      </c>
      <c r="G307" s="9" t="str">
        <f>IF(IFERROR(VLOOKUP(D307,Payments!G:G,1,FALSE),"UNPAID")=D307,"yes","no")</f>
        <v>yes</v>
      </c>
    </row>
    <row r="308" spans="1:9">
      <c r="A308" s="8" t="s">
        <v>17</v>
      </c>
      <c r="B308" s="35" t="s">
        <v>25</v>
      </c>
      <c r="C308" s="49">
        <v>43978</v>
      </c>
      <c r="D308" s="51" t="s">
        <v>395</v>
      </c>
      <c r="E308" s="3">
        <v>87.13</v>
      </c>
      <c r="F308" s="9" t="s">
        <v>72</v>
      </c>
      <c r="G308" s="9" t="str">
        <f>IF(IFERROR(VLOOKUP(D308,Payments!G:G,1,FALSE),"UNPAID")=D308,"yes","no")</f>
        <v>yes</v>
      </c>
    </row>
    <row r="309" spans="1:9">
      <c r="A309" s="8" t="s">
        <v>17</v>
      </c>
      <c r="B309" s="35" t="s">
        <v>25</v>
      </c>
      <c r="C309" s="49">
        <v>43978</v>
      </c>
      <c r="D309" s="51" t="s">
        <v>396</v>
      </c>
      <c r="E309" s="3">
        <f>1*125</f>
        <v>125</v>
      </c>
      <c r="F309" s="9" t="s">
        <v>74</v>
      </c>
      <c r="G309" s="9" t="str">
        <f>IF(IFERROR(VLOOKUP(D309,Payments!G:G,1,FALSE),"UNPAID")=D309,"yes","no")</f>
        <v>yes</v>
      </c>
    </row>
    <row r="310" spans="1:9">
      <c r="A310" s="8" t="s">
        <v>17</v>
      </c>
      <c r="B310" s="35" t="s">
        <v>26</v>
      </c>
      <c r="C310" s="49">
        <v>43978</v>
      </c>
      <c r="D310" s="51" t="s">
        <v>397</v>
      </c>
      <c r="E310" s="3">
        <f>0.5*150</f>
        <v>75</v>
      </c>
      <c r="F310" s="9" t="s">
        <v>74</v>
      </c>
      <c r="G310" s="9" t="str">
        <f>IF(IFERROR(VLOOKUP(D310,Payments!G:G,1,FALSE),"UNPAID")=D310,"yes","no")</f>
        <v>yes</v>
      </c>
    </row>
    <row r="311" spans="1:9">
      <c r="B311" s="35" t="s">
        <v>31</v>
      </c>
      <c r="C311" s="49">
        <v>43978</v>
      </c>
      <c r="D311" s="51" t="s">
        <v>398</v>
      </c>
      <c r="E311" s="3">
        <v>2608.1799999999998</v>
      </c>
      <c r="F311" s="9" t="s">
        <v>72</v>
      </c>
      <c r="G311" s="9" t="str">
        <f>IF(IFERROR(VLOOKUP(D311,Payments!G:G,1,FALSE),"UNPAID")=D311,"yes","no")</f>
        <v>yes</v>
      </c>
      <c r="H311" s="24">
        <v>96.08</v>
      </c>
      <c r="I311" s="25" t="s">
        <v>399</v>
      </c>
    </row>
    <row r="312" spans="1:9">
      <c r="B312" s="35" t="s">
        <v>31</v>
      </c>
      <c r="C312" s="49">
        <v>43978</v>
      </c>
      <c r="D312" s="51" t="s">
        <v>400</v>
      </c>
      <c r="E312" s="3">
        <f>1*110</f>
        <v>110</v>
      </c>
      <c r="F312" s="9" t="s">
        <v>74</v>
      </c>
      <c r="G312" s="9" t="str">
        <f>IF(IFERROR(VLOOKUP(D312,Payments!G:G,1,FALSE),"UNPAID")=D312,"yes","no")</f>
        <v>yes</v>
      </c>
      <c r="I312" s="25"/>
    </row>
    <row r="313" spans="1:9">
      <c r="B313" s="35" t="s">
        <v>32</v>
      </c>
      <c r="C313" s="49">
        <v>43978</v>
      </c>
      <c r="D313" s="51" t="s">
        <v>401</v>
      </c>
      <c r="E313" s="3">
        <v>643.15</v>
      </c>
      <c r="F313" s="9" t="s">
        <v>72</v>
      </c>
      <c r="G313" s="9" t="str">
        <f>IF(IFERROR(VLOOKUP(D313,Payments!G:G,1,FALSE),"UNPAID")=D313,"yes","no")</f>
        <v>yes</v>
      </c>
      <c r="I313" s="25" t="s">
        <v>336</v>
      </c>
    </row>
    <row r="314" spans="1:9">
      <c r="B314" s="34" t="s">
        <v>119</v>
      </c>
      <c r="C314" s="49">
        <v>43963</v>
      </c>
      <c r="D314" s="51" t="s">
        <v>402</v>
      </c>
      <c r="E314" s="3">
        <v>5355.75</v>
      </c>
      <c r="F314" s="9" t="s">
        <v>72</v>
      </c>
      <c r="G314" s="9" t="str">
        <f>IF(IFERROR(VLOOKUP(D314,Payments!G:G,1,FALSE),"UNPAID")=D314,"yes","no")</f>
        <v>yes</v>
      </c>
      <c r="H314" s="24">
        <v>1352.65</v>
      </c>
    </row>
    <row r="315" spans="1:9">
      <c r="B315" s="34" t="s">
        <v>119</v>
      </c>
      <c r="C315" s="49">
        <v>43978</v>
      </c>
      <c r="D315" s="51" t="s">
        <v>403</v>
      </c>
      <c r="E315" s="3">
        <v>6269.33</v>
      </c>
      <c r="F315" s="9" t="s">
        <v>72</v>
      </c>
      <c r="G315" s="9" t="str">
        <f>IF(IFERROR(VLOOKUP(D315,Payments!G:G,1,FALSE),"UNPAID")=D315,"yes","no")</f>
        <v>yes</v>
      </c>
      <c r="H315" s="24">
        <v>1063.4000000000001</v>
      </c>
    </row>
    <row r="316" spans="1:9">
      <c r="B316" s="35" t="s">
        <v>37</v>
      </c>
      <c r="C316" s="49">
        <v>43978</v>
      </c>
      <c r="D316" s="51" t="s">
        <v>404</v>
      </c>
      <c r="E316" s="3">
        <v>33542.76</v>
      </c>
      <c r="F316" s="9" t="s">
        <v>72</v>
      </c>
      <c r="G316" s="9" t="str">
        <f>IF(IFERROR(VLOOKUP(D316,Payments!G:G,1,FALSE),"UNPAID")=D316,"yes","no")</f>
        <v>yes</v>
      </c>
      <c r="H316" s="24">
        <v>2541.65</v>
      </c>
      <c r="I316" s="27" t="s">
        <v>405</v>
      </c>
    </row>
    <row r="317" spans="1:9">
      <c r="B317" s="35" t="s">
        <v>37</v>
      </c>
      <c r="C317" s="49">
        <v>43978</v>
      </c>
      <c r="D317" s="51" t="s">
        <v>406</v>
      </c>
      <c r="E317" s="3">
        <f>69*150</f>
        <v>10350</v>
      </c>
      <c r="F317" s="9" t="s">
        <v>74</v>
      </c>
      <c r="G317" s="9" t="str">
        <f>IF(IFERROR(VLOOKUP(D317,Payments!G:G,1,FALSE),"UNPAID")=D317,"yes","no")</f>
        <v>yes</v>
      </c>
    </row>
    <row r="318" spans="1:9">
      <c r="B318" s="35" t="s">
        <v>39</v>
      </c>
      <c r="C318" s="49">
        <v>43978</v>
      </c>
      <c r="D318" s="51" t="s">
        <v>407</v>
      </c>
      <c r="E318" s="3">
        <v>6659.24</v>
      </c>
      <c r="F318" s="9" t="s">
        <v>72</v>
      </c>
      <c r="G318" s="9" t="str">
        <f>IF(IFERROR(VLOOKUP(D318,Payments!G:G,1,FALSE),"UNPAID")=D318,"yes","no")</f>
        <v>yes</v>
      </c>
      <c r="H318" s="24">
        <v>46</v>
      </c>
    </row>
    <row r="319" spans="1:9">
      <c r="B319" s="35" t="s">
        <v>39</v>
      </c>
      <c r="C319" s="49">
        <v>43978</v>
      </c>
      <c r="D319" s="51" t="s">
        <v>408</v>
      </c>
      <c r="E319" s="3">
        <v>500</v>
      </c>
      <c r="F319" s="9" t="s">
        <v>74</v>
      </c>
      <c r="G319" s="9" t="str">
        <f>IF(IFERROR(VLOOKUP(D319,Payments!G:G,1,FALSE),"UNPAID")=D319,"yes","no")</f>
        <v>yes</v>
      </c>
    </row>
    <row r="320" spans="1:9">
      <c r="B320" s="35" t="s">
        <v>40</v>
      </c>
      <c r="C320" s="49">
        <v>43978</v>
      </c>
      <c r="D320" s="51" t="s">
        <v>409</v>
      </c>
      <c r="E320" s="3">
        <v>1851.9</v>
      </c>
      <c r="F320" s="9" t="s">
        <v>72</v>
      </c>
      <c r="G320" s="9" t="str">
        <f>IF(IFERROR(VLOOKUP(D320,Payments!G:G,1,FALSE),"UNPAID")=D320,"yes","no")</f>
        <v>yes</v>
      </c>
      <c r="H320" s="24">
        <v>646.96</v>
      </c>
    </row>
    <row r="321" spans="1:8">
      <c r="B321" s="35" t="s">
        <v>41</v>
      </c>
      <c r="C321" s="49">
        <v>43978</v>
      </c>
      <c r="D321" s="51" t="s">
        <v>410</v>
      </c>
      <c r="E321" s="3">
        <v>1666</v>
      </c>
      <c r="F321" s="9" t="s">
        <v>72</v>
      </c>
      <c r="G321" s="9" t="str">
        <f>IF(IFERROR(VLOOKUP(D321,Payments!G:G,1,FALSE),"UNPAID")=D321,"yes","no")</f>
        <v>yes</v>
      </c>
      <c r="H321" s="24">
        <v>116</v>
      </c>
    </row>
    <row r="322" spans="1:8">
      <c r="B322" s="35" t="s">
        <v>41</v>
      </c>
      <c r="C322" s="49">
        <v>43978</v>
      </c>
      <c r="D322" s="51" t="s">
        <v>411</v>
      </c>
      <c r="E322" s="3">
        <v>500</v>
      </c>
      <c r="F322" s="9" t="s">
        <v>74</v>
      </c>
      <c r="G322" s="9" t="str">
        <f>IF(IFERROR(VLOOKUP(D322,Payments!G:G,1,FALSE),"UNPAID")=D322,"yes","no")</f>
        <v>yes</v>
      </c>
    </row>
    <row r="323" spans="1:8">
      <c r="B323" s="35" t="s">
        <v>131</v>
      </c>
      <c r="C323" s="49">
        <v>43978</v>
      </c>
      <c r="D323" s="51" t="s">
        <v>412</v>
      </c>
      <c r="E323" s="3">
        <v>14003.1</v>
      </c>
      <c r="F323" s="9" t="s">
        <v>72</v>
      </c>
      <c r="G323" s="9" t="str">
        <f>IF(IFERROR(VLOOKUP(D323,Payments!G:G,1,FALSE),"UNPAID")=D323,"yes","no")</f>
        <v>yes</v>
      </c>
      <c r="H323" s="24">
        <v>107.75</v>
      </c>
    </row>
    <row r="324" spans="1:8">
      <c r="B324" s="35" t="s">
        <v>131</v>
      </c>
      <c r="C324" s="49">
        <v>43978</v>
      </c>
      <c r="D324" s="51" t="s">
        <v>413</v>
      </c>
      <c r="E324" s="3">
        <v>20833.330000000002</v>
      </c>
      <c r="F324" s="9" t="s">
        <v>74</v>
      </c>
      <c r="G324" s="9" t="str">
        <f>IF(IFERROR(VLOOKUP(D324,Payments!G:G,1,FALSE),"UNPAID")=D324,"yes","no")</f>
        <v>yes</v>
      </c>
    </row>
    <row r="325" spans="1:8">
      <c r="B325" s="35" t="s">
        <v>50</v>
      </c>
      <c r="C325" s="49">
        <v>43978</v>
      </c>
      <c r="D325" s="51" t="s">
        <v>414</v>
      </c>
      <c r="E325" s="3">
        <v>1034</v>
      </c>
      <c r="F325" s="9" t="s">
        <v>204</v>
      </c>
      <c r="G325" s="9" t="str">
        <f>IF(IFERROR(VLOOKUP(D325,Payments!G:G,1,FALSE),"UNPAID")=D325,"yes","no")</f>
        <v>yes</v>
      </c>
    </row>
    <row r="326" spans="1:8">
      <c r="B326" s="34" t="s">
        <v>52</v>
      </c>
      <c r="C326" s="49">
        <v>43978</v>
      </c>
      <c r="D326" s="51" t="s">
        <v>415</v>
      </c>
      <c r="E326" s="3">
        <v>965.45</v>
      </c>
      <c r="F326" s="9" t="s">
        <v>204</v>
      </c>
      <c r="G326" s="9" t="str">
        <f>IF(IFERROR(VLOOKUP(D326,Payments!G:G,1,FALSE),"UNPAID")=D326,"yes","no")</f>
        <v>yes</v>
      </c>
    </row>
    <row r="327" spans="1:8">
      <c r="B327" s="35" t="s">
        <v>53</v>
      </c>
      <c r="C327" s="49">
        <v>43978</v>
      </c>
      <c r="D327" s="51" t="s">
        <v>416</v>
      </c>
      <c r="E327" s="3">
        <v>1435</v>
      </c>
      <c r="F327" s="9" t="s">
        <v>204</v>
      </c>
      <c r="G327" s="9" t="str">
        <f>IF(IFERROR(VLOOKUP(D327,Payments!G:G,1,FALSE),"UNPAID")=D327,"yes","no")</f>
        <v>yes</v>
      </c>
    </row>
    <row r="328" spans="1:8">
      <c r="B328" s="35" t="s">
        <v>54</v>
      </c>
      <c r="C328" s="49">
        <v>43978</v>
      </c>
      <c r="D328" s="51" t="s">
        <v>417</v>
      </c>
      <c r="E328" s="3">
        <v>530.14</v>
      </c>
      <c r="F328" s="9" t="s">
        <v>204</v>
      </c>
      <c r="G328" s="9" t="str">
        <f>IF(IFERROR(VLOOKUP(D328,Payments!G:G,1,FALSE),"UNPAID")=D328,"yes","no")</f>
        <v>yes</v>
      </c>
    </row>
    <row r="329" spans="1:8">
      <c r="B329" s="35" t="s">
        <v>56</v>
      </c>
      <c r="C329" s="49">
        <v>43978</v>
      </c>
      <c r="D329" s="51" t="s">
        <v>418</v>
      </c>
      <c r="E329" s="3">
        <v>120.1</v>
      </c>
      <c r="F329" s="9" t="s">
        <v>204</v>
      </c>
      <c r="G329" s="9" t="str">
        <f>IF(IFERROR(VLOOKUP(D329,Payments!G:G,1,FALSE),"UNPAID")=D329,"yes","no")</f>
        <v>yes</v>
      </c>
    </row>
    <row r="330" spans="1:8">
      <c r="B330" s="35" t="s">
        <v>419</v>
      </c>
      <c r="C330" s="49">
        <v>43978</v>
      </c>
      <c r="D330" s="51" t="s">
        <v>420</v>
      </c>
      <c r="E330" s="3">
        <v>314.64</v>
      </c>
      <c r="F330" s="9" t="s">
        <v>204</v>
      </c>
      <c r="G330" s="9" t="str">
        <f>IF(IFERROR(VLOOKUP(D330,Payments!G:G,1,FALSE),"UNPAID")=D330,"yes","no")</f>
        <v>no</v>
      </c>
    </row>
    <row r="331" spans="1:8">
      <c r="B331" s="35" t="s">
        <v>58</v>
      </c>
      <c r="C331" s="49">
        <v>43978</v>
      </c>
      <c r="D331" s="51" t="s">
        <v>421</v>
      </c>
      <c r="E331" s="3">
        <v>50</v>
      </c>
      <c r="F331" s="9" t="s">
        <v>204</v>
      </c>
      <c r="G331" s="9" t="str">
        <f>IF(IFERROR(VLOOKUP(D331,Payments!G:G,1,FALSE),"UNPAID")=D331,"yes","no")</f>
        <v>yes</v>
      </c>
    </row>
    <row r="332" spans="1:8">
      <c r="B332" s="34" t="s">
        <v>59</v>
      </c>
      <c r="C332" s="49">
        <v>43978</v>
      </c>
      <c r="D332" s="51" t="s">
        <v>422</v>
      </c>
      <c r="E332" s="3">
        <v>1280.45</v>
      </c>
      <c r="F332" s="9" t="s">
        <v>204</v>
      </c>
      <c r="G332" s="9" t="str">
        <f>IF(IFERROR(VLOOKUP(D332,Payments!G:G,1,FALSE),"UNPAID")=D332,"yes","no")</f>
        <v>yes</v>
      </c>
    </row>
    <row r="333" spans="1:8">
      <c r="B333" s="35" t="s">
        <v>60</v>
      </c>
      <c r="C333" s="49">
        <v>43978</v>
      </c>
      <c r="D333" s="51" t="s">
        <v>423</v>
      </c>
      <c r="E333" s="3">
        <v>850</v>
      </c>
      <c r="F333" s="9" t="s">
        <v>204</v>
      </c>
      <c r="G333" s="9" t="str">
        <f>IF(IFERROR(VLOOKUP(D333,Payments!G:G,1,FALSE),"UNPAID")=D333,"yes","no")</f>
        <v>yes</v>
      </c>
    </row>
    <row r="334" spans="1:8">
      <c r="B334" s="34" t="s">
        <v>62</v>
      </c>
      <c r="C334" s="49">
        <v>43978</v>
      </c>
      <c r="D334" s="51" t="s">
        <v>424</v>
      </c>
      <c r="E334" s="3">
        <v>60.05</v>
      </c>
      <c r="F334" s="9" t="s">
        <v>204</v>
      </c>
      <c r="G334" s="9" t="str">
        <f>IF(IFERROR(VLOOKUP(D334,Payments!G:G,1,FALSE),"UNPAID")=D334,"yes","no")</f>
        <v>yes</v>
      </c>
    </row>
    <row r="335" spans="1:8">
      <c r="B335" s="35" t="s">
        <v>63</v>
      </c>
      <c r="C335" s="49">
        <v>43978</v>
      </c>
      <c r="D335" s="51" t="s">
        <v>425</v>
      </c>
      <c r="E335" s="3">
        <v>595</v>
      </c>
      <c r="F335" s="9" t="s">
        <v>204</v>
      </c>
      <c r="G335" s="9" t="str">
        <f>IF(IFERROR(VLOOKUP(D335,Payments!G:G,1,FALSE),"UNPAID")=D335,"yes","no")</f>
        <v>yes</v>
      </c>
    </row>
    <row r="336" spans="1:8">
      <c r="A336" s="8" t="s">
        <v>70</v>
      </c>
      <c r="B336" s="34" t="s">
        <v>6</v>
      </c>
      <c r="C336" s="49">
        <v>43994</v>
      </c>
      <c r="D336" s="11" t="s">
        <v>426</v>
      </c>
      <c r="E336" s="3">
        <v>33659.589999999997</v>
      </c>
      <c r="F336" s="9" t="s">
        <v>72</v>
      </c>
      <c r="G336" s="9" t="str">
        <f>IF(IFERROR(VLOOKUP(D336,Payments!G:G,1,FALSE),"UNPAID")=D336,"yes","no")</f>
        <v>yes</v>
      </c>
      <c r="H336" s="24">
        <v>3985.06</v>
      </c>
    </row>
    <row r="337" spans="1:8">
      <c r="A337" s="8" t="s">
        <v>70</v>
      </c>
      <c r="B337" s="34" t="s">
        <v>6</v>
      </c>
      <c r="C337" s="49">
        <v>43994</v>
      </c>
      <c r="D337" s="11" t="s">
        <v>427</v>
      </c>
      <c r="E337" s="3">
        <v>30.03</v>
      </c>
      <c r="F337" s="9" t="s">
        <v>235</v>
      </c>
      <c r="G337" s="9" t="str">
        <f>IF(IFERROR(VLOOKUP(D337,Payments!G:G,1,FALSE),"UNPAID")=D337,"yes","no")</f>
        <v>yes</v>
      </c>
    </row>
    <row r="338" spans="1:8">
      <c r="A338" s="8" t="s">
        <v>70</v>
      </c>
      <c r="B338" s="34" t="s">
        <v>6</v>
      </c>
      <c r="C338" s="49">
        <v>43994</v>
      </c>
      <c r="D338" s="11" t="s">
        <v>428</v>
      </c>
      <c r="E338" s="3">
        <f>166.25*110</f>
        <v>18287.5</v>
      </c>
      <c r="F338" s="9" t="s">
        <v>74</v>
      </c>
      <c r="G338" s="9" t="str">
        <f>IF(IFERROR(VLOOKUP(D338,Payments!G:G,1,FALSE),"UNPAID")=D338,"yes","no")</f>
        <v>yes</v>
      </c>
    </row>
    <row r="339" spans="1:8">
      <c r="A339" s="8" t="s">
        <v>70</v>
      </c>
      <c r="B339" s="34" t="s">
        <v>6</v>
      </c>
      <c r="C339" s="49">
        <v>44009</v>
      </c>
      <c r="D339" s="11" t="s">
        <v>429</v>
      </c>
      <c r="E339" s="3">
        <v>25031.59</v>
      </c>
      <c r="F339" s="9" t="s">
        <v>72</v>
      </c>
      <c r="G339" s="9" t="str">
        <f>IF(IFERROR(VLOOKUP(D339,Payments!G:G,1,FALSE),"UNPAID")=D339,"yes","no")</f>
        <v>yes</v>
      </c>
      <c r="H339" s="24">
        <v>3075.41</v>
      </c>
    </row>
    <row r="340" spans="1:8">
      <c r="A340" s="8" t="s">
        <v>70</v>
      </c>
      <c r="B340" s="34" t="s">
        <v>7</v>
      </c>
      <c r="C340" s="49">
        <v>43994</v>
      </c>
      <c r="D340" s="11" t="s">
        <v>430</v>
      </c>
      <c r="E340" s="3">
        <v>18203.52</v>
      </c>
      <c r="F340" s="9" t="s">
        <v>72</v>
      </c>
      <c r="G340" s="9" t="str">
        <f>IF(IFERROR(VLOOKUP(D340,Payments!G:G,1,FALSE),"UNPAID")=D340,"yes","no")</f>
        <v>yes</v>
      </c>
      <c r="H340" s="24">
        <v>751.71</v>
      </c>
    </row>
    <row r="341" spans="1:8">
      <c r="A341" s="8" t="s">
        <v>70</v>
      </c>
      <c r="B341" s="34" t="s">
        <v>7</v>
      </c>
      <c r="C341" s="49">
        <v>43994</v>
      </c>
      <c r="D341" s="11" t="s">
        <v>431</v>
      </c>
      <c r="E341" s="3">
        <f>112*110</f>
        <v>12320</v>
      </c>
      <c r="F341" s="9" t="s">
        <v>74</v>
      </c>
      <c r="G341" s="9" t="str">
        <f>IF(IFERROR(VLOOKUP(D341,Payments!G:G,1,FALSE),"UNPAID")=D341,"yes","no")</f>
        <v>yes</v>
      </c>
    </row>
    <row r="342" spans="1:8">
      <c r="A342" s="8" t="s">
        <v>70</v>
      </c>
      <c r="B342" s="34" t="s">
        <v>7</v>
      </c>
      <c r="C342" s="49">
        <v>44009</v>
      </c>
      <c r="D342" s="11" t="s">
        <v>432</v>
      </c>
      <c r="E342" s="3">
        <v>12425.57</v>
      </c>
      <c r="F342" s="9" t="s">
        <v>72</v>
      </c>
      <c r="G342" s="9" t="str">
        <f>IF(IFERROR(VLOOKUP(D342,Payments!G:G,1,FALSE),"UNPAID")=D342,"yes","no")</f>
        <v>yes</v>
      </c>
      <c r="H342" s="24">
        <v>378.05</v>
      </c>
    </row>
    <row r="343" spans="1:8">
      <c r="A343" s="8" t="s">
        <v>70</v>
      </c>
      <c r="B343" s="35" t="s">
        <v>8</v>
      </c>
      <c r="C343" s="49">
        <v>44009</v>
      </c>
      <c r="D343" s="12" t="s">
        <v>433</v>
      </c>
      <c r="E343" s="3">
        <v>6637.69</v>
      </c>
      <c r="F343" s="9" t="s">
        <v>72</v>
      </c>
      <c r="G343" s="9" t="str">
        <f>IF(IFERROR(VLOOKUP(D343,Payments!G:G,1,FALSE),"UNPAID")=D343,"yes","no")</f>
        <v>yes</v>
      </c>
    </row>
    <row r="344" spans="1:8">
      <c r="A344" s="8" t="s">
        <v>70</v>
      </c>
      <c r="B344" s="35" t="s">
        <v>8</v>
      </c>
      <c r="C344" s="49">
        <v>44009</v>
      </c>
      <c r="D344" s="12" t="s">
        <v>434</v>
      </c>
      <c r="E344" s="3">
        <f>22*110</f>
        <v>2420</v>
      </c>
      <c r="F344" s="9" t="s">
        <v>74</v>
      </c>
      <c r="G344" s="9" t="str">
        <f>IF(IFERROR(VLOOKUP(D344,Payments!G:G,1,FALSE),"UNPAID")=D344,"yes","no")</f>
        <v>yes</v>
      </c>
      <c r="H344" s="24">
        <v>355.17</v>
      </c>
    </row>
    <row r="345" spans="1:8">
      <c r="A345" s="8" t="s">
        <v>70</v>
      </c>
      <c r="B345" s="35" t="s">
        <v>9</v>
      </c>
      <c r="C345" s="49">
        <v>44009</v>
      </c>
      <c r="D345" s="12" t="s">
        <v>435</v>
      </c>
      <c r="E345" s="3">
        <v>2288.41</v>
      </c>
      <c r="F345" s="9" t="s">
        <v>72</v>
      </c>
      <c r="G345" s="9" t="str">
        <f>IF(IFERROR(VLOOKUP(D345,Payments!G:G,1,FALSE),"UNPAID")=D345,"yes","no")</f>
        <v>yes</v>
      </c>
    </row>
    <row r="346" spans="1:8">
      <c r="A346" s="8" t="s">
        <v>70</v>
      </c>
      <c r="B346" s="35" t="s">
        <v>9</v>
      </c>
      <c r="C346" s="49">
        <v>44009</v>
      </c>
      <c r="D346" s="12" t="s">
        <v>436</v>
      </c>
      <c r="E346" s="3">
        <f>2.75*110</f>
        <v>302.5</v>
      </c>
      <c r="F346" s="9" t="s">
        <v>74</v>
      </c>
      <c r="G346" s="9" t="str">
        <f>IF(IFERROR(VLOOKUP(D346,Payments!G:G,1,FALSE),"UNPAID")=D346,"yes","no")</f>
        <v>yes</v>
      </c>
    </row>
    <row r="347" spans="1:8">
      <c r="A347" s="8" t="s">
        <v>70</v>
      </c>
      <c r="B347" s="34" t="s">
        <v>10</v>
      </c>
      <c r="C347" s="49">
        <v>44009</v>
      </c>
      <c r="D347" s="50" t="s">
        <v>437</v>
      </c>
      <c r="E347" s="3">
        <v>1312.22</v>
      </c>
      <c r="F347" s="9" t="s">
        <v>72</v>
      </c>
      <c r="G347" s="9" t="str">
        <f>IF(IFERROR(VLOOKUP(D347,Payments!G:G,1,FALSE),"UNPAID")=D347,"yes","no")</f>
        <v>yes</v>
      </c>
      <c r="H347" s="24">
        <v>57.02</v>
      </c>
    </row>
    <row r="348" spans="1:8">
      <c r="A348" s="8" t="s">
        <v>70</v>
      </c>
      <c r="B348" s="34" t="s">
        <v>10</v>
      </c>
      <c r="C348" s="49">
        <v>44009</v>
      </c>
      <c r="D348" s="50" t="s">
        <v>438</v>
      </c>
      <c r="E348" s="3">
        <f>10.5*110</f>
        <v>1155</v>
      </c>
      <c r="F348" s="9" t="s">
        <v>74</v>
      </c>
      <c r="G348" s="9" t="str">
        <f>IF(IFERROR(VLOOKUP(D348,Payments!G:G,1,FALSE),"UNPAID")=D348,"yes","no")</f>
        <v>yes</v>
      </c>
    </row>
    <row r="349" spans="1:8">
      <c r="A349" s="8" t="s">
        <v>70</v>
      </c>
      <c r="B349" s="34" t="s">
        <v>11</v>
      </c>
      <c r="C349" s="49">
        <v>44009</v>
      </c>
      <c r="D349" s="51" t="s">
        <v>439</v>
      </c>
      <c r="E349" s="3">
        <v>4325.28</v>
      </c>
      <c r="F349" s="9" t="s">
        <v>72</v>
      </c>
      <c r="G349" s="9" t="str">
        <f>IF(IFERROR(VLOOKUP(D349,Payments!G:G,1,FALSE),"UNPAID")=D349,"yes","no")</f>
        <v>yes</v>
      </c>
      <c r="H349" s="24">
        <v>194.22</v>
      </c>
    </row>
    <row r="350" spans="1:8">
      <c r="A350" s="8" t="s">
        <v>70</v>
      </c>
      <c r="B350" s="34" t="s">
        <v>11</v>
      </c>
      <c r="C350" s="49">
        <v>44009</v>
      </c>
      <c r="D350" s="51" t="s">
        <v>440</v>
      </c>
      <c r="E350" s="3">
        <f>11.5*110</f>
        <v>1265</v>
      </c>
      <c r="F350" s="9" t="s">
        <v>74</v>
      </c>
      <c r="G350" s="9" t="str">
        <f>IF(IFERROR(VLOOKUP(D350,Payments!G:G,1,FALSE),"UNPAID")=D350,"yes","no")</f>
        <v>yes</v>
      </c>
    </row>
    <row r="351" spans="1:8">
      <c r="A351" s="8" t="s">
        <v>70</v>
      </c>
      <c r="B351" s="35" t="s">
        <v>12</v>
      </c>
      <c r="C351" s="49">
        <v>44009</v>
      </c>
      <c r="D351" s="51" t="s">
        <v>441</v>
      </c>
      <c r="E351" s="3">
        <v>1863.39</v>
      </c>
      <c r="F351" s="9" t="s">
        <v>72</v>
      </c>
      <c r="G351" s="9" t="str">
        <f>IF(IFERROR(VLOOKUP(D351,Payments!G:G,1,FALSE),"UNPAID")=D351,"yes","no")</f>
        <v>yes</v>
      </c>
      <c r="H351" s="24">
        <v>66.13</v>
      </c>
    </row>
    <row r="352" spans="1:8">
      <c r="A352" s="8" t="s">
        <v>70</v>
      </c>
      <c r="B352" s="35" t="s">
        <v>12</v>
      </c>
      <c r="C352" s="49">
        <v>44009</v>
      </c>
      <c r="D352" s="51" t="s">
        <v>442</v>
      </c>
      <c r="E352" s="3">
        <f>3.5*110</f>
        <v>385</v>
      </c>
      <c r="F352" s="9" t="s">
        <v>74</v>
      </c>
      <c r="G352" s="9" t="str">
        <f>IF(IFERROR(VLOOKUP(D352,Payments!G:G,1,FALSE),"UNPAID")=D352,"yes","no")</f>
        <v>yes</v>
      </c>
    </row>
    <row r="353" spans="1:9">
      <c r="A353" s="8" t="s">
        <v>70</v>
      </c>
      <c r="B353" s="35" t="s">
        <v>13</v>
      </c>
      <c r="C353" s="49">
        <v>44009</v>
      </c>
      <c r="D353" s="51" t="s">
        <v>443</v>
      </c>
      <c r="E353" s="3">
        <v>100</v>
      </c>
      <c r="F353" s="9" t="s">
        <v>74</v>
      </c>
      <c r="G353" s="9" t="str">
        <f>IF(IFERROR(VLOOKUP(D353,Payments!G:G,1,FALSE),"UNPAID")=D353,"yes","no")</f>
        <v>yes</v>
      </c>
      <c r="H353" s="24">
        <v>50</v>
      </c>
    </row>
    <row r="354" spans="1:9">
      <c r="A354" s="8" t="s">
        <v>70</v>
      </c>
      <c r="B354" s="35" t="s">
        <v>14</v>
      </c>
      <c r="C354" s="49">
        <v>44009</v>
      </c>
      <c r="D354" s="51" t="s">
        <v>444</v>
      </c>
      <c r="E354" s="3">
        <v>1102.94</v>
      </c>
      <c r="F354" s="9" t="s">
        <v>72</v>
      </c>
      <c r="G354" s="9" t="str">
        <f>IF(IFERROR(VLOOKUP(D354,Payments!G:G,1,FALSE),"UNPAID")=D354,"yes","no")</f>
        <v>yes</v>
      </c>
    </row>
    <row r="355" spans="1:9">
      <c r="A355" s="8" t="s">
        <v>70</v>
      </c>
      <c r="B355" s="35" t="s">
        <v>14</v>
      </c>
      <c r="C355" s="49">
        <v>44009</v>
      </c>
      <c r="D355" s="51" t="s">
        <v>445</v>
      </c>
      <c r="E355" s="3">
        <v>22.31</v>
      </c>
      <c r="F355" s="9" t="s">
        <v>235</v>
      </c>
      <c r="G355" s="9" t="str">
        <f>IF(IFERROR(VLOOKUP(D355,Payments!G:G,1,FALSE),"UNPAID")=D355,"yes","no")</f>
        <v>yes</v>
      </c>
    </row>
    <row r="356" spans="1:9">
      <c r="A356" s="8" t="s">
        <v>70</v>
      </c>
      <c r="B356" s="35" t="s">
        <v>14</v>
      </c>
      <c r="C356" s="49">
        <v>44009</v>
      </c>
      <c r="D356" s="51" t="s">
        <v>446</v>
      </c>
      <c r="E356" s="3">
        <f>1.25*110</f>
        <v>137.5</v>
      </c>
      <c r="F356" s="9" t="s">
        <v>74</v>
      </c>
      <c r="G356" s="9" t="str">
        <f>IF(IFERROR(VLOOKUP(D356,Payments!G:G,1,FALSE),"UNPAID")=D356,"yes","no")</f>
        <v>yes</v>
      </c>
    </row>
    <row r="357" spans="1:9">
      <c r="A357" s="8" t="s">
        <v>70</v>
      </c>
      <c r="B357" s="35" t="s">
        <v>15</v>
      </c>
      <c r="C357" s="49">
        <v>44009</v>
      </c>
      <c r="D357" s="51" t="s">
        <v>447</v>
      </c>
      <c r="E357" s="3">
        <f>3*110</f>
        <v>330</v>
      </c>
      <c r="F357" s="9" t="s">
        <v>74</v>
      </c>
      <c r="G357" s="9" t="str">
        <f>IF(IFERROR(VLOOKUP(D357,Payments!G:G,1,FALSE),"UNPAID")=D357,"yes","no")</f>
        <v>yes</v>
      </c>
    </row>
    <row r="358" spans="1:9">
      <c r="A358" s="8" t="s">
        <v>70</v>
      </c>
      <c r="B358" s="34" t="s">
        <v>16</v>
      </c>
      <c r="C358" s="49">
        <v>44009</v>
      </c>
      <c r="D358" s="51" t="s">
        <v>448</v>
      </c>
      <c r="E358" s="3">
        <v>1178.1300000000001</v>
      </c>
      <c r="F358" s="9" t="s">
        <v>72</v>
      </c>
      <c r="G358" s="9" t="str">
        <f>IF(IFERROR(VLOOKUP(D358,Payments!G:G,1,FALSE),"UNPAID")=D358,"yes","no")</f>
        <v>yes</v>
      </c>
      <c r="I358" s="25" t="s">
        <v>449</v>
      </c>
    </row>
    <row r="359" spans="1:9">
      <c r="A359" s="8" t="s">
        <v>70</v>
      </c>
      <c r="B359" s="34" t="s">
        <v>16</v>
      </c>
      <c r="C359" s="49">
        <v>44009</v>
      </c>
      <c r="D359" s="51" t="s">
        <v>450</v>
      </c>
      <c r="E359" s="3">
        <v>12.73</v>
      </c>
      <c r="F359" s="9" t="s">
        <v>235</v>
      </c>
      <c r="G359" s="9" t="str">
        <f>IF(IFERROR(VLOOKUP(D359,Payments!G:G,1,FALSE),"UNPAID")=D359,"yes","no")</f>
        <v>yes</v>
      </c>
    </row>
    <row r="360" spans="1:9">
      <c r="A360" s="8" t="s">
        <v>70</v>
      </c>
      <c r="B360" s="34" t="s">
        <v>16</v>
      </c>
      <c r="C360" s="49">
        <v>44009</v>
      </c>
      <c r="D360" s="51" t="s">
        <v>451</v>
      </c>
      <c r="E360" s="3">
        <v>1250</v>
      </c>
      <c r="F360" s="9" t="s">
        <v>74</v>
      </c>
      <c r="G360" s="9" t="str">
        <f>IF(IFERROR(VLOOKUP(D360,Payments!G:G,1,FALSE),"UNPAID")=D360,"yes","no")</f>
        <v>yes</v>
      </c>
    </row>
    <row r="361" spans="1:9">
      <c r="A361" s="8" t="s">
        <v>17</v>
      </c>
      <c r="B361" s="34" t="s">
        <v>18</v>
      </c>
      <c r="C361" s="49">
        <v>43994</v>
      </c>
      <c r="D361" s="51" t="s">
        <v>452</v>
      </c>
      <c r="E361" s="3">
        <v>50095.32</v>
      </c>
      <c r="F361" s="9" t="s">
        <v>72</v>
      </c>
      <c r="G361" s="9" t="str">
        <f>IF(IFERROR(VLOOKUP(D361,Payments!G:G,1,FALSE),"UNPAID")=D361,"yes","no")</f>
        <v>yes</v>
      </c>
      <c r="H361" s="24">
        <v>3126.01</v>
      </c>
    </row>
    <row r="362" spans="1:9">
      <c r="A362" s="8" t="s">
        <v>17</v>
      </c>
      <c r="B362" s="34" t="s">
        <v>18</v>
      </c>
      <c r="C362" s="49">
        <v>43994</v>
      </c>
      <c r="D362" s="51" t="s">
        <v>453</v>
      </c>
      <c r="E362" s="3">
        <f>251.75*125</f>
        <v>31468.75</v>
      </c>
      <c r="F362" s="9" t="s">
        <v>74</v>
      </c>
      <c r="G362" s="9" t="str">
        <f>IF(IFERROR(VLOOKUP(D362,Payments!G:G,1,FALSE),"UNPAID")=D362,"yes","no")</f>
        <v>yes</v>
      </c>
    </row>
    <row r="363" spans="1:9">
      <c r="A363" s="8" t="s">
        <v>17</v>
      </c>
      <c r="B363" s="34" t="s">
        <v>18</v>
      </c>
      <c r="C363" s="49">
        <v>44009</v>
      </c>
      <c r="D363" s="51" t="s">
        <v>454</v>
      </c>
      <c r="E363" s="3">
        <v>35420.400000000001</v>
      </c>
      <c r="F363" s="9" t="s">
        <v>72</v>
      </c>
      <c r="G363" s="9" t="str">
        <f>IF(IFERROR(VLOOKUP(D363,Payments!G:G,1,FALSE),"UNPAID")=D363,"yes","no")</f>
        <v>yes</v>
      </c>
      <c r="H363" s="24">
        <v>3388.93</v>
      </c>
    </row>
    <row r="364" spans="1:9">
      <c r="A364" s="8" t="s">
        <v>17</v>
      </c>
      <c r="B364" s="35" t="s">
        <v>19</v>
      </c>
      <c r="C364" s="49">
        <v>43994</v>
      </c>
      <c r="D364" s="51" t="s">
        <v>455</v>
      </c>
      <c r="E364" s="3">
        <v>50229.31</v>
      </c>
      <c r="F364" s="9" t="s">
        <v>72</v>
      </c>
      <c r="G364" s="9" t="str">
        <f>IF(IFERROR(VLOOKUP(D364,Payments!G:G,1,FALSE),"UNPAID")=D364,"yes","no")</f>
        <v>yes</v>
      </c>
      <c r="H364" s="24">
        <v>3274.14</v>
      </c>
    </row>
    <row r="365" spans="1:9">
      <c r="A365" s="8" t="s">
        <v>17</v>
      </c>
      <c r="B365" s="35" t="s">
        <v>19</v>
      </c>
      <c r="C365" s="49">
        <v>43994</v>
      </c>
      <c r="D365" s="51" t="s">
        <v>456</v>
      </c>
      <c r="E365" s="3">
        <f>111.5*125</f>
        <v>13937.5</v>
      </c>
      <c r="F365" s="9" t="s">
        <v>74</v>
      </c>
      <c r="G365" s="9" t="str">
        <f>IF(IFERROR(VLOOKUP(D365,Payments!G:G,1,FALSE),"UNPAID")=D365,"yes","no")</f>
        <v>yes</v>
      </c>
    </row>
    <row r="366" spans="1:9">
      <c r="A366" s="8" t="s">
        <v>17</v>
      </c>
      <c r="B366" s="35" t="s">
        <v>19</v>
      </c>
      <c r="C366" s="49">
        <v>44009</v>
      </c>
      <c r="D366" s="51" t="s">
        <v>457</v>
      </c>
      <c r="E366" s="3">
        <v>28886.65</v>
      </c>
      <c r="F366" s="9" t="s">
        <v>72</v>
      </c>
      <c r="G366" s="9" t="str">
        <f>IF(IFERROR(VLOOKUP(D366,Payments!G:G,1,FALSE),"UNPAID")=D366,"yes","no")</f>
        <v>yes</v>
      </c>
      <c r="H366" s="24">
        <v>2756.96</v>
      </c>
    </row>
    <row r="367" spans="1:9">
      <c r="A367" s="8" t="s">
        <v>17</v>
      </c>
      <c r="B367" s="35" t="s">
        <v>20</v>
      </c>
      <c r="C367" s="49">
        <v>44009</v>
      </c>
      <c r="D367" s="51" t="s">
        <v>458</v>
      </c>
      <c r="E367" s="3">
        <f>14*125</f>
        <v>1750</v>
      </c>
      <c r="F367" s="9" t="s">
        <v>74</v>
      </c>
      <c r="G367" s="9" t="str">
        <f>IF(IFERROR(VLOOKUP(D367,Payments!G:G,1,FALSE),"UNPAID")=D367,"yes","no")</f>
        <v>yes</v>
      </c>
    </row>
    <row r="368" spans="1:9">
      <c r="A368" s="8" t="s">
        <v>17</v>
      </c>
      <c r="B368" s="35" t="s">
        <v>21</v>
      </c>
      <c r="C368" s="49">
        <v>43994</v>
      </c>
      <c r="D368" s="51" t="s">
        <v>459</v>
      </c>
      <c r="E368" s="3">
        <v>20961.560000000001</v>
      </c>
      <c r="F368" s="9" t="s">
        <v>72</v>
      </c>
      <c r="G368" s="9" t="str">
        <f>IF(IFERROR(VLOOKUP(D368,Payments!G:G,1,FALSE),"UNPAID")=D368,"yes","no")</f>
        <v>yes</v>
      </c>
      <c r="H368" s="24">
        <v>404.88</v>
      </c>
    </row>
    <row r="369" spans="1:8">
      <c r="A369" s="8" t="s">
        <v>17</v>
      </c>
      <c r="B369" s="35" t="s">
        <v>21</v>
      </c>
      <c r="C369" s="49">
        <v>43994</v>
      </c>
      <c r="D369" s="51" t="s">
        <v>460</v>
      </c>
      <c r="E369" s="3">
        <f>46.5*125</f>
        <v>5812.5</v>
      </c>
      <c r="F369" s="9" t="s">
        <v>74</v>
      </c>
      <c r="G369" s="9" t="str">
        <f>IF(IFERROR(VLOOKUP(D369,Payments!G:G,1,FALSE),"UNPAID")=D369,"yes","no")</f>
        <v>yes</v>
      </c>
      <c r="H369" s="24"/>
    </row>
    <row r="370" spans="1:8">
      <c r="A370" s="8" t="s">
        <v>17</v>
      </c>
      <c r="B370" s="35" t="s">
        <v>21</v>
      </c>
      <c r="C370" s="49">
        <v>44009</v>
      </c>
      <c r="D370" s="51" t="s">
        <v>461</v>
      </c>
      <c r="E370" s="3">
        <v>21296</v>
      </c>
      <c r="F370" s="9" t="s">
        <v>72</v>
      </c>
      <c r="G370" s="9" t="str">
        <f>IF(IFERROR(VLOOKUP(D370,Payments!G:G,1,FALSE),"UNPAID")=D370,"yes","no")</f>
        <v>yes</v>
      </c>
      <c r="H370" s="24">
        <v>905.87</v>
      </c>
    </row>
    <row r="371" spans="1:8">
      <c r="A371" s="8" t="s">
        <v>17</v>
      </c>
      <c r="B371" s="35" t="s">
        <v>22</v>
      </c>
      <c r="C371" s="49">
        <v>44009</v>
      </c>
      <c r="D371" s="51" t="s">
        <v>462</v>
      </c>
      <c r="E371" s="3">
        <v>7610.85</v>
      </c>
      <c r="F371" s="9" t="s">
        <v>72</v>
      </c>
      <c r="G371" s="9" t="str">
        <f>IF(IFERROR(VLOOKUP(D371,Payments!G:G,1,FALSE),"UNPAID")=D371,"yes","no")</f>
        <v>yes</v>
      </c>
    </row>
    <row r="372" spans="1:8">
      <c r="A372" s="8" t="s">
        <v>17</v>
      </c>
      <c r="B372" s="35" t="s">
        <v>22</v>
      </c>
      <c r="C372" s="49">
        <v>44009</v>
      </c>
      <c r="D372" s="51" t="s">
        <v>463</v>
      </c>
      <c r="E372" s="3">
        <f>253.5*125</f>
        <v>31687.5</v>
      </c>
      <c r="F372" s="9" t="s">
        <v>74</v>
      </c>
      <c r="G372" s="9" t="str">
        <f>IF(IFERROR(VLOOKUP(D372,Payments!G:G,1,FALSE),"UNPAID")=D372,"yes","no")</f>
        <v>yes</v>
      </c>
    </row>
    <row r="373" spans="1:8">
      <c r="A373" s="8" t="s">
        <v>17</v>
      </c>
      <c r="B373" s="35" t="s">
        <v>22</v>
      </c>
      <c r="C373" s="49">
        <v>44009</v>
      </c>
      <c r="D373" s="51" t="s">
        <v>464</v>
      </c>
      <c r="E373" s="3">
        <v>5147.2</v>
      </c>
      <c r="F373" s="9" t="s">
        <v>327</v>
      </c>
      <c r="G373" s="9" t="str">
        <f>IF(IFERROR(VLOOKUP(D373,Payments!G:G,1,FALSE),"UNPAID")=D373,"yes","no")</f>
        <v>no</v>
      </c>
    </row>
    <row r="374" spans="1:8">
      <c r="A374" s="8" t="s">
        <v>17</v>
      </c>
      <c r="B374" s="35" t="s">
        <v>23</v>
      </c>
      <c r="C374" s="49">
        <v>44009</v>
      </c>
      <c r="D374" s="51" t="s">
        <v>465</v>
      </c>
      <c r="E374" s="3">
        <v>6414.4</v>
      </c>
      <c r="F374" s="9" t="s">
        <v>72</v>
      </c>
      <c r="G374" s="9" t="str">
        <f>IF(IFERROR(VLOOKUP(D374,Payments!G:G,1,FALSE),"UNPAID")=D374,"yes","no")</f>
        <v>yes</v>
      </c>
    </row>
    <row r="375" spans="1:8">
      <c r="A375" s="8" t="s">
        <v>17</v>
      </c>
      <c r="B375" s="35" t="s">
        <v>23</v>
      </c>
      <c r="C375" s="49">
        <v>44009</v>
      </c>
      <c r="D375" s="51" t="s">
        <v>466</v>
      </c>
      <c r="E375" s="3">
        <v>4159.2</v>
      </c>
      <c r="F375" s="9" t="s">
        <v>327</v>
      </c>
      <c r="G375" s="9" t="str">
        <f>IF(IFERROR(VLOOKUP(D375,Payments!G:G,1,FALSE),"UNPAID")=D375,"yes","no")</f>
        <v>no</v>
      </c>
    </row>
    <row r="376" spans="1:8">
      <c r="A376" s="8" t="s">
        <v>17</v>
      </c>
      <c r="B376" s="35" t="s">
        <v>24</v>
      </c>
      <c r="C376" s="49">
        <v>44009</v>
      </c>
      <c r="D376" s="51" t="s">
        <v>467</v>
      </c>
      <c r="E376" s="3">
        <f>7*125</f>
        <v>875</v>
      </c>
      <c r="F376" s="9" t="s">
        <v>74</v>
      </c>
      <c r="G376" s="9" t="str">
        <f>IF(IFERROR(VLOOKUP(D376,Payments!G:G,1,FALSE),"UNPAID")=D376,"yes","no")</f>
        <v>yes</v>
      </c>
    </row>
    <row r="377" spans="1:8">
      <c r="A377" s="8" t="s">
        <v>17</v>
      </c>
      <c r="B377" s="35" t="s">
        <v>25</v>
      </c>
      <c r="C377" s="49">
        <v>44009</v>
      </c>
      <c r="D377" s="51" t="s">
        <v>468</v>
      </c>
      <c r="E377" s="3">
        <f>2*125</f>
        <v>250</v>
      </c>
      <c r="F377" s="9" t="s">
        <v>74</v>
      </c>
      <c r="G377" s="9" t="str">
        <f>IF(IFERROR(VLOOKUP(D377,Payments!G:G,1,FALSE),"UNPAID")=D377,"yes","no")</f>
        <v>yes</v>
      </c>
    </row>
    <row r="378" spans="1:8">
      <c r="A378" s="8" t="s">
        <v>17</v>
      </c>
      <c r="B378" s="35" t="s">
        <v>26</v>
      </c>
      <c r="C378" s="49">
        <v>44009</v>
      </c>
      <c r="D378" s="51" t="s">
        <v>469</v>
      </c>
      <c r="E378" s="3">
        <f>0.5*150</f>
        <v>75</v>
      </c>
      <c r="F378" s="9" t="s">
        <v>74</v>
      </c>
      <c r="G378" s="9" t="str">
        <f>IF(IFERROR(VLOOKUP(D378,Payments!G:G,1,FALSE),"UNPAID")=D378,"yes","no")</f>
        <v>yes</v>
      </c>
    </row>
    <row r="379" spans="1:8">
      <c r="B379" s="35" t="s">
        <v>27</v>
      </c>
      <c r="C379" s="49">
        <v>44009</v>
      </c>
      <c r="D379" s="51" t="s">
        <v>470</v>
      </c>
      <c r="E379" s="3">
        <f>1*200</f>
        <v>200</v>
      </c>
      <c r="F379" s="9" t="s">
        <v>74</v>
      </c>
      <c r="G379" s="9" t="str">
        <f>IF(IFERROR(VLOOKUP(D379,Payments!G:G,1,FALSE),"UNPAID")=D379,"yes","no")</f>
        <v>no</v>
      </c>
    </row>
    <row r="380" spans="1:8">
      <c r="B380" s="35" t="s">
        <v>28</v>
      </c>
      <c r="C380" s="49">
        <v>44009</v>
      </c>
      <c r="D380" s="51" t="s">
        <v>471</v>
      </c>
      <c r="E380" s="3">
        <f>1*200</f>
        <v>200</v>
      </c>
      <c r="F380" s="9" t="s">
        <v>74</v>
      </c>
      <c r="G380" s="9" t="str">
        <f>IF(IFERROR(VLOOKUP(D380,Payments!G:G,1,FALSE),"UNPAID")=D380,"yes","no")</f>
        <v>yes</v>
      </c>
    </row>
    <row r="381" spans="1:8">
      <c r="B381" s="35" t="s">
        <v>29</v>
      </c>
      <c r="C381" s="49">
        <v>44009</v>
      </c>
      <c r="D381" s="51" t="s">
        <v>472</v>
      </c>
      <c r="E381" s="3">
        <f>1*200</f>
        <v>200</v>
      </c>
      <c r="F381" s="9" t="s">
        <v>74</v>
      </c>
      <c r="G381" s="9" t="str">
        <f>IF(IFERROR(VLOOKUP(D381,Payments!G:G,1,FALSE),"UNPAID")=D381,"yes","no")</f>
        <v>yes</v>
      </c>
    </row>
    <row r="382" spans="1:8">
      <c r="B382" s="35" t="s">
        <v>30</v>
      </c>
      <c r="C382" s="49">
        <v>44009</v>
      </c>
      <c r="D382" s="51" t="s">
        <v>473</v>
      </c>
      <c r="E382" s="3">
        <f>1*200</f>
        <v>200</v>
      </c>
      <c r="F382" s="9" t="s">
        <v>74</v>
      </c>
      <c r="G382" s="9" t="str">
        <f>IF(IFERROR(VLOOKUP(D382,Payments!G:G,1,FALSE),"UNPAID")=D382,"yes","no")</f>
        <v>yes</v>
      </c>
    </row>
    <row r="383" spans="1:8">
      <c r="B383" s="35" t="s">
        <v>31</v>
      </c>
      <c r="C383" s="49">
        <v>44009</v>
      </c>
      <c r="D383" s="51" t="s">
        <v>474</v>
      </c>
      <c r="E383" s="3">
        <v>2486.83</v>
      </c>
      <c r="F383" s="9" t="s">
        <v>72</v>
      </c>
      <c r="G383" s="9" t="str">
        <f>IF(IFERROR(VLOOKUP(D383,Payments!G:G,1,FALSE),"UNPAID")=D383,"yes","no")</f>
        <v>yes</v>
      </c>
      <c r="H383" s="24">
        <v>140.19</v>
      </c>
    </row>
    <row r="384" spans="1:8">
      <c r="B384" s="35" t="s">
        <v>31</v>
      </c>
      <c r="C384" s="49">
        <v>44009</v>
      </c>
      <c r="D384" s="51" t="s">
        <v>475</v>
      </c>
      <c r="E384" s="3">
        <v>84.69</v>
      </c>
      <c r="F384" s="9" t="s">
        <v>235</v>
      </c>
      <c r="G384" s="9" t="str">
        <f>IF(IFERROR(VLOOKUP(D384,Payments!G:G,1,FALSE),"UNPAID")=D384,"yes","no")</f>
        <v>yes</v>
      </c>
    </row>
    <row r="385" spans="2:9">
      <c r="B385" s="35" t="s">
        <v>31</v>
      </c>
      <c r="C385" s="49">
        <v>44009</v>
      </c>
      <c r="D385" s="51" t="s">
        <v>476</v>
      </c>
      <c r="E385" s="3">
        <f>2*110</f>
        <v>220</v>
      </c>
      <c r="F385" s="9" t="s">
        <v>74</v>
      </c>
      <c r="G385" s="9" t="str">
        <f>IF(IFERROR(VLOOKUP(D385,Payments!G:G,1,FALSE),"UNPAID")=D385,"yes","no")</f>
        <v>yes</v>
      </c>
    </row>
    <row r="386" spans="2:9">
      <c r="B386" s="35" t="s">
        <v>32</v>
      </c>
      <c r="C386" s="49">
        <v>44009</v>
      </c>
      <c r="D386" s="51" t="s">
        <v>477</v>
      </c>
      <c r="E386" s="3">
        <v>2880.54</v>
      </c>
      <c r="F386" s="9" t="s">
        <v>72</v>
      </c>
      <c r="G386" s="9" t="str">
        <f>IF(IFERROR(VLOOKUP(D386,Payments!G:G,1,FALSE),"UNPAID")=D386,"yes","no")</f>
        <v>yes</v>
      </c>
      <c r="I386" s="25" t="s">
        <v>336</v>
      </c>
    </row>
    <row r="387" spans="2:9">
      <c r="B387" s="35" t="s">
        <v>32</v>
      </c>
      <c r="C387" s="49">
        <v>44009</v>
      </c>
      <c r="D387" s="51" t="s">
        <v>478</v>
      </c>
      <c r="E387" s="3">
        <v>1332</v>
      </c>
      <c r="F387" s="9" t="s">
        <v>74</v>
      </c>
      <c r="G387" s="9" t="str">
        <f>IF(IFERROR(VLOOKUP(D387,Payments!G:G,1,FALSE),"UNPAID")=D387,"yes","no")</f>
        <v>yes</v>
      </c>
    </row>
    <row r="388" spans="2:9">
      <c r="B388" s="35" t="s">
        <v>34</v>
      </c>
      <c r="C388" s="49">
        <v>44009</v>
      </c>
      <c r="D388" s="51" t="s">
        <v>479</v>
      </c>
      <c r="E388" s="3">
        <f>(10.25*200)+(2098*2)</f>
        <v>6246</v>
      </c>
      <c r="F388" s="9" t="s">
        <v>74</v>
      </c>
      <c r="G388" s="9" t="str">
        <f>IF(IFERROR(VLOOKUP(D388,Payments!G:G,1,FALSE),"UNPAID")=D388,"yes","no")</f>
        <v>yes</v>
      </c>
      <c r="I388" s="25" t="s">
        <v>480</v>
      </c>
    </row>
    <row r="389" spans="2:9">
      <c r="B389" s="35" t="s">
        <v>35</v>
      </c>
      <c r="C389" s="49">
        <v>44009</v>
      </c>
      <c r="D389" s="51" t="s">
        <v>481</v>
      </c>
      <c r="E389" s="3">
        <f>0.5*150</f>
        <v>75</v>
      </c>
      <c r="F389" s="9" t="s">
        <v>74</v>
      </c>
      <c r="G389" s="9" t="str">
        <f>IF(IFERROR(VLOOKUP(D389,Payments!G:G,1,FALSE),"UNPAID")=D389,"yes","no")</f>
        <v>yes</v>
      </c>
      <c r="I389" s="25" t="s">
        <v>482</v>
      </c>
    </row>
    <row r="390" spans="2:9">
      <c r="B390" s="34" t="s">
        <v>119</v>
      </c>
      <c r="C390" s="49">
        <v>43994</v>
      </c>
      <c r="D390" s="51" t="s">
        <v>483</v>
      </c>
      <c r="E390" s="3">
        <v>6856.5</v>
      </c>
      <c r="F390" s="9" t="s">
        <v>72</v>
      </c>
      <c r="G390" s="9" t="str">
        <f>IF(IFERROR(VLOOKUP(D390,Payments!G:G,1,FALSE),"UNPAID")=D390,"yes","no")</f>
        <v>yes</v>
      </c>
      <c r="H390" s="24">
        <v>1460.7</v>
      </c>
    </row>
    <row r="391" spans="2:9">
      <c r="B391" s="34" t="s">
        <v>119</v>
      </c>
      <c r="C391" s="49">
        <v>44009</v>
      </c>
      <c r="D391" s="51" t="s">
        <v>484</v>
      </c>
      <c r="E391" s="3">
        <v>14273.85</v>
      </c>
      <c r="F391" s="9" t="s">
        <v>72</v>
      </c>
      <c r="G391" s="9" t="str">
        <f>IF(IFERROR(VLOOKUP(D391,Payments!G:G,1,FALSE),"UNPAID")=D391,"yes","no")</f>
        <v>yes</v>
      </c>
      <c r="H391" s="24">
        <v>373.4</v>
      </c>
    </row>
    <row r="392" spans="2:9">
      <c r="B392" s="35" t="s">
        <v>37</v>
      </c>
      <c r="C392" s="49">
        <v>44009</v>
      </c>
      <c r="D392" s="51" t="s">
        <v>485</v>
      </c>
      <c r="E392" s="3">
        <v>50813.2</v>
      </c>
      <c r="F392" s="9" t="s">
        <v>72</v>
      </c>
      <c r="G392" s="9" t="str">
        <f>IF(IFERROR(VLOOKUP(D392,Payments!G:G,1,FALSE),"UNPAID")=D392,"yes","no")</f>
        <v>yes</v>
      </c>
      <c r="I392" s="27" t="s">
        <v>486</v>
      </c>
    </row>
    <row r="393" spans="2:9">
      <c r="B393" s="35" t="s">
        <v>37</v>
      </c>
      <c r="C393" s="49">
        <v>44009</v>
      </c>
      <c r="D393" s="51" t="s">
        <v>487</v>
      </c>
      <c r="E393" s="3">
        <f>65.25*150</f>
        <v>9787.5</v>
      </c>
      <c r="F393" s="9" t="s">
        <v>74</v>
      </c>
      <c r="G393" s="9" t="str">
        <f>IF(IFERROR(VLOOKUP(D393,Payments!G:G,1,FALSE),"UNPAID")=D393,"yes","no")</f>
        <v>yes</v>
      </c>
      <c r="H393" s="24">
        <v>5397.18</v>
      </c>
    </row>
    <row r="394" spans="2:9">
      <c r="B394" s="35" t="s">
        <v>39</v>
      </c>
      <c r="C394" s="49">
        <v>44009</v>
      </c>
      <c r="D394" s="51" t="s">
        <v>488</v>
      </c>
      <c r="E394" s="3">
        <v>6025.24</v>
      </c>
      <c r="F394" s="9" t="s">
        <v>72</v>
      </c>
      <c r="G394" s="9" t="str">
        <f>IF(IFERROR(VLOOKUP(D394,Payments!G:G,1,FALSE),"UNPAID")=D394,"yes","no")</f>
        <v>yes</v>
      </c>
      <c r="H394" s="24">
        <v>141</v>
      </c>
    </row>
    <row r="395" spans="2:9">
      <c r="B395" s="35" t="s">
        <v>39</v>
      </c>
      <c r="C395" s="49">
        <v>44009</v>
      </c>
      <c r="D395" s="51" t="s">
        <v>489</v>
      </c>
      <c r="E395" s="3">
        <v>500</v>
      </c>
      <c r="F395" s="9" t="s">
        <v>74</v>
      </c>
      <c r="G395" s="9" t="str">
        <f>IF(IFERROR(VLOOKUP(D395,Payments!G:G,1,FALSE),"UNPAID")=D395,"yes","no")</f>
        <v>yes</v>
      </c>
    </row>
    <row r="396" spans="2:9">
      <c r="B396" s="35" t="s">
        <v>40</v>
      </c>
      <c r="C396" s="49">
        <v>44009</v>
      </c>
      <c r="D396" s="51" t="s">
        <v>490</v>
      </c>
      <c r="E396" s="3">
        <v>3000.3</v>
      </c>
      <c r="F396" s="9" t="s">
        <v>72</v>
      </c>
      <c r="G396" s="9" t="str">
        <f>IF(IFERROR(VLOOKUP(D396,Payments!G:G,1,FALSE),"UNPAID")=D396,"yes","no")</f>
        <v>yes</v>
      </c>
      <c r="H396" s="24">
        <v>197.54</v>
      </c>
      <c r="I396" s="27" t="s">
        <v>491</v>
      </c>
    </row>
    <row r="397" spans="2:9">
      <c r="B397" s="35" t="s">
        <v>40</v>
      </c>
      <c r="C397" s="49">
        <v>44009</v>
      </c>
      <c r="D397" s="51" t="s">
        <v>492</v>
      </c>
      <c r="E397" s="3">
        <v>1750</v>
      </c>
      <c r="F397" s="9" t="s">
        <v>74</v>
      </c>
      <c r="G397" s="9" t="str">
        <f>IF(IFERROR(VLOOKUP(D397,Payments!G:G,1,FALSE),"UNPAID")=D397,"yes","no")</f>
        <v>yes</v>
      </c>
      <c r="I397" s="27"/>
    </row>
    <row r="398" spans="2:9">
      <c r="B398" s="35" t="s">
        <v>41</v>
      </c>
      <c r="C398" s="49">
        <v>44009</v>
      </c>
      <c r="D398" s="51" t="s">
        <v>493</v>
      </c>
      <c r="E398" s="3">
        <v>3728.24</v>
      </c>
      <c r="F398" s="9" t="s">
        <v>72</v>
      </c>
      <c r="G398" s="9" t="str">
        <f>IF(IFERROR(VLOOKUP(D398,Payments!G:G,1,FALSE),"UNPAID")=D398,"yes","no")</f>
        <v>yes</v>
      </c>
    </row>
    <row r="399" spans="2:9">
      <c r="B399" s="35" t="s">
        <v>41</v>
      </c>
      <c r="C399" s="49">
        <v>44009</v>
      </c>
      <c r="D399" s="51" t="s">
        <v>494</v>
      </c>
      <c r="E399" s="3">
        <v>500</v>
      </c>
      <c r="F399" s="9" t="s">
        <v>74</v>
      </c>
      <c r="G399" s="9" t="str">
        <f>IF(IFERROR(VLOOKUP(D399,Payments!G:G,1,FALSE),"UNPAID")=D399,"yes","no")</f>
        <v>yes</v>
      </c>
    </row>
    <row r="400" spans="2:9">
      <c r="B400" s="35" t="s">
        <v>131</v>
      </c>
      <c r="C400" s="49">
        <v>44009</v>
      </c>
      <c r="D400" s="51" t="s">
        <v>495</v>
      </c>
      <c r="E400" s="3">
        <v>14455.55</v>
      </c>
      <c r="F400" s="9" t="s">
        <v>72</v>
      </c>
      <c r="G400" s="9" t="str">
        <f>IF(IFERROR(VLOOKUP(D400,Payments!G:G,1,FALSE),"UNPAID")=D400,"yes","no")</f>
        <v>yes</v>
      </c>
      <c r="H400" s="24">
        <v>550.58000000000004</v>
      </c>
    </row>
    <row r="401" spans="1:8">
      <c r="B401" s="35" t="s">
        <v>131</v>
      </c>
      <c r="C401" s="49">
        <v>44009</v>
      </c>
      <c r="D401" s="51" t="s">
        <v>496</v>
      </c>
      <c r="E401" s="3">
        <v>57.52</v>
      </c>
      <c r="F401" s="9" t="s">
        <v>235</v>
      </c>
      <c r="G401" s="9" t="str">
        <f>IF(IFERROR(VLOOKUP(D401,Payments!G:G,1,FALSE),"UNPAID")=D401,"yes","no")</f>
        <v>yes</v>
      </c>
    </row>
    <row r="402" spans="1:8">
      <c r="B402" s="35" t="s">
        <v>131</v>
      </c>
      <c r="C402" s="49">
        <v>44009</v>
      </c>
      <c r="D402" s="51" t="s">
        <v>497</v>
      </c>
      <c r="E402" s="3">
        <v>20833.330000000002</v>
      </c>
      <c r="F402" s="9" t="s">
        <v>74</v>
      </c>
      <c r="G402" s="9" t="str">
        <f>IF(IFERROR(VLOOKUP(D402,Payments!G:G,1,FALSE),"UNPAID")=D402,"yes","no")</f>
        <v>yes</v>
      </c>
    </row>
    <row r="403" spans="1:8">
      <c r="B403" s="35" t="s">
        <v>50</v>
      </c>
      <c r="C403" s="49">
        <v>44009</v>
      </c>
      <c r="D403" s="51" t="s">
        <v>498</v>
      </c>
      <c r="E403" s="3">
        <v>1762</v>
      </c>
      <c r="F403" s="9" t="s">
        <v>204</v>
      </c>
      <c r="G403" s="9" t="str">
        <f>IF(IFERROR(VLOOKUP(D403,Payments!G:G,1,FALSE),"UNPAID")=D403,"yes","no")</f>
        <v>yes</v>
      </c>
    </row>
    <row r="404" spans="1:8">
      <c r="B404" s="34" t="s">
        <v>52</v>
      </c>
      <c r="C404" s="49">
        <v>44009</v>
      </c>
      <c r="D404" s="51" t="s">
        <v>499</v>
      </c>
      <c r="E404" s="3">
        <v>1070.45</v>
      </c>
      <c r="F404" s="9" t="s">
        <v>204</v>
      </c>
      <c r="G404" s="9" t="str">
        <f>IF(IFERROR(VLOOKUP(D404,Payments!G:G,1,FALSE),"UNPAID")=D404,"yes","no")</f>
        <v>yes</v>
      </c>
    </row>
    <row r="405" spans="1:8">
      <c r="B405" s="35" t="s">
        <v>53</v>
      </c>
      <c r="C405" s="49">
        <v>44009</v>
      </c>
      <c r="D405" s="51" t="s">
        <v>500</v>
      </c>
      <c r="E405" s="3">
        <v>1470</v>
      </c>
      <c r="F405" s="9" t="s">
        <v>204</v>
      </c>
      <c r="G405" s="9" t="str">
        <f>IF(IFERROR(VLOOKUP(D405,Payments!G:G,1,FALSE),"UNPAID")=D405,"yes","no")</f>
        <v>yes</v>
      </c>
    </row>
    <row r="406" spans="1:8">
      <c r="B406" s="35" t="s">
        <v>54</v>
      </c>
      <c r="C406" s="49">
        <v>44009</v>
      </c>
      <c r="D406" s="51" t="s">
        <v>501</v>
      </c>
      <c r="E406" s="3">
        <v>228</v>
      </c>
      <c r="F406" s="9" t="s">
        <v>204</v>
      </c>
      <c r="G406" s="9" t="str">
        <f>IF(IFERROR(VLOOKUP(D406,Payments!G:G,1,FALSE),"UNPAID")=D406,"yes","no")</f>
        <v>yes</v>
      </c>
    </row>
    <row r="407" spans="1:8">
      <c r="B407" s="35" t="s">
        <v>57</v>
      </c>
      <c r="C407" s="49">
        <v>44009</v>
      </c>
      <c r="D407" s="51" t="s">
        <v>502</v>
      </c>
      <c r="E407" s="3">
        <v>105</v>
      </c>
      <c r="F407" s="9" t="s">
        <v>204</v>
      </c>
      <c r="G407" s="9" t="str">
        <f>IF(IFERROR(VLOOKUP(D407,Payments!G:G,1,FALSE),"UNPAID")=D407,"yes","no")</f>
        <v>no</v>
      </c>
    </row>
    <row r="408" spans="1:8">
      <c r="B408" s="34" t="s">
        <v>59</v>
      </c>
      <c r="C408" s="49">
        <v>44009</v>
      </c>
      <c r="D408" s="51" t="s">
        <v>503</v>
      </c>
      <c r="E408" s="3">
        <v>1070.45</v>
      </c>
      <c r="F408" s="9" t="s">
        <v>204</v>
      </c>
      <c r="G408" s="9" t="str">
        <f>IF(IFERROR(VLOOKUP(D408,Payments!G:G,1,FALSE),"UNPAID")=D408,"yes","no")</f>
        <v>yes</v>
      </c>
    </row>
    <row r="409" spans="1:8">
      <c r="B409" s="35" t="s">
        <v>60</v>
      </c>
      <c r="C409" s="49">
        <v>44009</v>
      </c>
      <c r="D409" s="51" t="s">
        <v>504</v>
      </c>
      <c r="E409" s="3">
        <v>1284</v>
      </c>
      <c r="F409" s="9" t="s">
        <v>204</v>
      </c>
      <c r="G409" s="9" t="str">
        <f>IF(IFERROR(VLOOKUP(D409,Payments!G:G,1,FALSE),"UNPAID")=D409,"yes","no")</f>
        <v>yes</v>
      </c>
    </row>
    <row r="410" spans="1:8">
      <c r="B410" s="34" t="s">
        <v>62</v>
      </c>
      <c r="C410" s="49">
        <v>44009</v>
      </c>
      <c r="D410" s="51" t="s">
        <v>505</v>
      </c>
      <c r="E410" s="3">
        <v>30.35</v>
      </c>
      <c r="F410" s="9" t="s">
        <v>204</v>
      </c>
      <c r="G410" s="9" t="str">
        <f>IF(IFERROR(VLOOKUP(D410,Payments!G:G,1,FALSE),"UNPAID")=D410,"yes","no")</f>
        <v>yes</v>
      </c>
    </row>
    <row r="411" spans="1:8">
      <c r="B411" s="35" t="s">
        <v>63</v>
      </c>
      <c r="C411" s="49">
        <v>44009</v>
      </c>
      <c r="D411" s="51" t="s">
        <v>506</v>
      </c>
      <c r="E411" s="3">
        <v>665</v>
      </c>
      <c r="F411" s="9" t="s">
        <v>204</v>
      </c>
      <c r="G411" s="9" t="str">
        <f>IF(IFERROR(VLOOKUP(D411,Payments!G:G,1,FALSE),"UNPAID")=D411,"yes","no")</f>
        <v>yes</v>
      </c>
    </row>
    <row r="412" spans="1:8">
      <c r="A412" s="8" t="s">
        <v>70</v>
      </c>
      <c r="B412" s="34" t="s">
        <v>6</v>
      </c>
      <c r="C412" s="49">
        <v>44024</v>
      </c>
      <c r="D412" s="11" t="s">
        <v>507</v>
      </c>
      <c r="E412" s="3">
        <v>28058.69</v>
      </c>
      <c r="F412" s="9" t="s">
        <v>72</v>
      </c>
      <c r="G412" s="9" t="str">
        <f>IF(IFERROR(VLOOKUP(D412,Payments!G:G,1,FALSE),"UNPAID")=D412,"yes","no")</f>
        <v>yes</v>
      </c>
      <c r="H412" s="24">
        <v>1793.16</v>
      </c>
    </row>
    <row r="413" spans="1:8">
      <c r="A413" s="8" t="s">
        <v>70</v>
      </c>
      <c r="B413" s="34" t="s">
        <v>6</v>
      </c>
      <c r="C413" s="49">
        <v>44024</v>
      </c>
      <c r="D413" s="11" t="s">
        <v>508</v>
      </c>
      <c r="E413" s="3">
        <f>137.75*110</f>
        <v>15152.5</v>
      </c>
      <c r="F413" s="9" t="s">
        <v>74</v>
      </c>
      <c r="G413" s="9" t="str">
        <f>IF(IFERROR(VLOOKUP(D413,Payments!G:G,1,FALSE),"UNPAID")=D413,"yes","no")</f>
        <v>yes</v>
      </c>
    </row>
    <row r="414" spans="1:8">
      <c r="A414" s="8" t="s">
        <v>70</v>
      </c>
      <c r="B414" s="34" t="s">
        <v>6</v>
      </c>
      <c r="C414" s="49">
        <v>44039</v>
      </c>
      <c r="D414" s="11" t="s">
        <v>509</v>
      </c>
      <c r="E414" s="3">
        <v>38268.75</v>
      </c>
      <c r="F414" s="9" t="s">
        <v>72</v>
      </c>
      <c r="G414" s="9" t="str">
        <f>IF(IFERROR(VLOOKUP(D414,Payments!G:G,1,FALSE),"UNPAID")=D414,"yes","no")</f>
        <v>no</v>
      </c>
      <c r="H414" s="24">
        <v>5309.45</v>
      </c>
    </row>
    <row r="415" spans="1:8">
      <c r="A415" s="8" t="s">
        <v>70</v>
      </c>
      <c r="B415" s="34" t="s">
        <v>7</v>
      </c>
      <c r="C415" s="49">
        <v>44024</v>
      </c>
      <c r="D415" s="11" t="s">
        <v>510</v>
      </c>
      <c r="E415" s="3">
        <v>16426.060000000001</v>
      </c>
      <c r="F415" s="9" t="s">
        <v>72</v>
      </c>
      <c r="G415" s="9" t="str">
        <f>IF(IFERROR(VLOOKUP(D415,Payments!G:G,1,FALSE),"UNPAID")=D415,"yes","no")</f>
        <v>yes</v>
      </c>
      <c r="H415" s="24">
        <v>359.77</v>
      </c>
    </row>
    <row r="416" spans="1:8">
      <c r="A416" s="8" t="s">
        <v>70</v>
      </c>
      <c r="B416" s="34" t="s">
        <v>7</v>
      </c>
      <c r="C416" s="49">
        <v>44024</v>
      </c>
      <c r="D416" s="11" t="s">
        <v>511</v>
      </c>
      <c r="E416" s="3">
        <f>91.5*110</f>
        <v>10065</v>
      </c>
      <c r="F416" s="9" t="s">
        <v>74</v>
      </c>
      <c r="G416" s="9" t="str">
        <f>IF(IFERROR(VLOOKUP(D416,Payments!G:G,1,FALSE),"UNPAID")=D416,"yes","no")</f>
        <v>yes</v>
      </c>
    </row>
    <row r="417" spans="1:8">
      <c r="A417" s="8" t="s">
        <v>70</v>
      </c>
      <c r="B417" s="34" t="s">
        <v>7</v>
      </c>
      <c r="C417" s="49">
        <v>44039</v>
      </c>
      <c r="D417" s="11" t="s">
        <v>512</v>
      </c>
      <c r="E417" s="3">
        <v>18688.46</v>
      </c>
      <c r="F417" s="9" t="s">
        <v>72</v>
      </c>
      <c r="G417" s="9" t="str">
        <f>IF(IFERROR(VLOOKUP(D417,Payments!G:G,1,FALSE),"UNPAID")=D417,"yes","no")</f>
        <v>yes</v>
      </c>
      <c r="H417" s="24">
        <v>688.8</v>
      </c>
    </row>
    <row r="418" spans="1:8">
      <c r="A418" s="8" t="s">
        <v>70</v>
      </c>
      <c r="B418" s="35" t="s">
        <v>8</v>
      </c>
      <c r="C418" s="49">
        <v>44039</v>
      </c>
      <c r="D418" s="12" t="s">
        <v>513</v>
      </c>
      <c r="E418" s="3">
        <v>8863.44</v>
      </c>
      <c r="F418" s="9" t="s">
        <v>72</v>
      </c>
      <c r="G418" s="9" t="str">
        <f>IF(IFERROR(VLOOKUP(D418,Payments!G:G,1,FALSE),"UNPAID")=D418,"yes","no")</f>
        <v>no</v>
      </c>
      <c r="H418" s="24">
        <v>171.35</v>
      </c>
    </row>
    <row r="419" spans="1:8">
      <c r="A419" s="8" t="s">
        <v>70</v>
      </c>
      <c r="B419" s="35" t="s">
        <v>8</v>
      </c>
      <c r="C419" s="49">
        <v>44039</v>
      </c>
      <c r="D419" s="12" t="s">
        <v>514</v>
      </c>
      <c r="E419" s="3">
        <f>27*110</f>
        <v>2970</v>
      </c>
      <c r="F419" s="9" t="s">
        <v>74</v>
      </c>
      <c r="G419" s="9" t="str">
        <f>IF(IFERROR(VLOOKUP(D419,Payments!G:G,1,FALSE),"UNPAID")=D419,"yes","no")</f>
        <v>no</v>
      </c>
    </row>
    <row r="420" spans="1:8">
      <c r="A420" s="8" t="s">
        <v>70</v>
      </c>
      <c r="B420" s="35" t="s">
        <v>9</v>
      </c>
      <c r="C420" s="49">
        <v>44039</v>
      </c>
      <c r="D420" s="12" t="s">
        <v>515</v>
      </c>
      <c r="E420" s="3">
        <v>2346.5300000000002</v>
      </c>
      <c r="F420" s="9" t="s">
        <v>72</v>
      </c>
      <c r="G420" s="9" t="str">
        <f>IF(IFERROR(VLOOKUP(D420,Payments!G:G,1,FALSE),"UNPAID")=D420,"yes","no")</f>
        <v>yes</v>
      </c>
      <c r="H420" s="24">
        <v>29.95</v>
      </c>
    </row>
    <row r="421" spans="1:8">
      <c r="A421" s="8" t="s">
        <v>70</v>
      </c>
      <c r="B421" s="35" t="s">
        <v>9</v>
      </c>
      <c r="C421" s="49">
        <v>44039</v>
      </c>
      <c r="D421" s="12" t="s">
        <v>516</v>
      </c>
      <c r="E421" s="3">
        <f>1*110</f>
        <v>110</v>
      </c>
      <c r="F421" s="9" t="s">
        <v>74</v>
      </c>
      <c r="G421" s="9" t="str">
        <f>IF(IFERROR(VLOOKUP(D421,Payments!G:G,1,FALSE),"UNPAID")=D421,"yes","no")</f>
        <v>yes</v>
      </c>
    </row>
    <row r="422" spans="1:8">
      <c r="A422" s="8" t="s">
        <v>70</v>
      </c>
      <c r="B422" s="34" t="s">
        <v>10</v>
      </c>
      <c r="C422" s="49">
        <v>44039</v>
      </c>
      <c r="D422" s="50" t="s">
        <v>517</v>
      </c>
      <c r="E422" s="3">
        <v>639.04999999999995</v>
      </c>
      <c r="F422" s="9" t="s">
        <v>72</v>
      </c>
      <c r="G422" s="9" t="str">
        <f>IF(IFERROR(VLOOKUP(D422,Payments!G:G,1,FALSE),"UNPAID")=D422,"yes","no")</f>
        <v>yes</v>
      </c>
    </row>
    <row r="423" spans="1:8">
      <c r="A423" s="8" t="s">
        <v>70</v>
      </c>
      <c r="B423" s="34" t="s">
        <v>10</v>
      </c>
      <c r="C423" s="49">
        <v>44039</v>
      </c>
      <c r="D423" s="50" t="s">
        <v>518</v>
      </c>
      <c r="E423" s="3">
        <f>1*110</f>
        <v>110</v>
      </c>
      <c r="F423" s="9" t="s">
        <v>74</v>
      </c>
      <c r="G423" s="9" t="str">
        <f>IF(IFERROR(VLOOKUP(D423,Payments!G:G,1,FALSE),"UNPAID")=D423,"yes","no")</f>
        <v>yes</v>
      </c>
    </row>
    <row r="424" spans="1:8">
      <c r="A424" s="8" t="s">
        <v>70</v>
      </c>
      <c r="B424" s="34" t="s">
        <v>11</v>
      </c>
      <c r="C424" s="49">
        <v>44039</v>
      </c>
      <c r="D424" s="51" t="s">
        <v>519</v>
      </c>
      <c r="E424" s="3">
        <v>7695.62</v>
      </c>
      <c r="F424" s="9" t="s">
        <v>72</v>
      </c>
      <c r="G424" s="9" t="str">
        <f>IF(IFERROR(VLOOKUP(D424,Payments!G:G,1,FALSE),"UNPAID")=D424,"yes","no")</f>
        <v>yes</v>
      </c>
      <c r="H424" s="24">
        <v>741.85</v>
      </c>
    </row>
    <row r="425" spans="1:8">
      <c r="A425" s="8" t="s">
        <v>70</v>
      </c>
      <c r="B425" s="34" t="s">
        <v>11</v>
      </c>
      <c r="C425" s="49">
        <v>44039</v>
      </c>
      <c r="D425" s="51" t="s">
        <v>520</v>
      </c>
      <c r="E425" s="3">
        <f>12*110</f>
        <v>1320</v>
      </c>
      <c r="F425" s="9" t="s">
        <v>74</v>
      </c>
      <c r="G425" s="9" t="str">
        <f>IF(IFERROR(VLOOKUP(D425,Payments!G:G,1,FALSE),"UNPAID")=D425,"yes","no")</f>
        <v>yes</v>
      </c>
    </row>
    <row r="426" spans="1:8">
      <c r="A426" s="8" t="s">
        <v>70</v>
      </c>
      <c r="B426" s="35" t="s">
        <v>12</v>
      </c>
      <c r="C426" s="49">
        <v>44039</v>
      </c>
      <c r="D426" s="51" t="s">
        <v>521</v>
      </c>
      <c r="E426" s="3">
        <v>1462.86</v>
      </c>
      <c r="F426" s="9" t="s">
        <v>72</v>
      </c>
      <c r="G426" s="9" t="str">
        <f>IF(IFERROR(VLOOKUP(D426,Payments!G:G,1,FALSE),"UNPAID")=D426,"yes","no")</f>
        <v>yes</v>
      </c>
    </row>
    <row r="427" spans="1:8">
      <c r="A427" s="8" t="s">
        <v>70</v>
      </c>
      <c r="B427" s="35" t="s">
        <v>12</v>
      </c>
      <c r="C427" s="49">
        <v>44039</v>
      </c>
      <c r="D427" s="51" t="s">
        <v>522</v>
      </c>
      <c r="E427" s="3">
        <f>2*110</f>
        <v>220</v>
      </c>
      <c r="F427" s="9" t="s">
        <v>74</v>
      </c>
      <c r="G427" s="9" t="str">
        <f>IF(IFERROR(VLOOKUP(D427,Payments!G:G,1,FALSE),"UNPAID")=D427,"yes","no")</f>
        <v>yes</v>
      </c>
    </row>
    <row r="428" spans="1:8">
      <c r="A428" s="8" t="s">
        <v>70</v>
      </c>
      <c r="B428" s="35" t="s">
        <v>13</v>
      </c>
      <c r="C428" s="49">
        <v>44039</v>
      </c>
      <c r="D428" s="51" t="s">
        <v>523</v>
      </c>
      <c r="E428" s="3">
        <v>100</v>
      </c>
      <c r="F428" s="9" t="s">
        <v>74</v>
      </c>
      <c r="G428" s="9" t="str">
        <f>IF(IFERROR(VLOOKUP(D428,Payments!G:G,1,FALSE),"UNPAID")=D428,"yes","no")</f>
        <v>yes</v>
      </c>
    </row>
    <row r="429" spans="1:8">
      <c r="A429" s="8" t="s">
        <v>70</v>
      </c>
      <c r="B429" s="35" t="s">
        <v>14</v>
      </c>
      <c r="C429" s="49">
        <v>44039</v>
      </c>
      <c r="D429" s="51" t="s">
        <v>524</v>
      </c>
      <c r="E429" s="3">
        <v>1093.29</v>
      </c>
      <c r="F429" s="9" t="s">
        <v>72</v>
      </c>
      <c r="G429" s="9" t="str">
        <f>IF(IFERROR(VLOOKUP(D429,Payments!G:G,1,FALSE),"UNPAID")=D429,"yes","no")</f>
        <v>no</v>
      </c>
      <c r="H429" s="24">
        <v>50</v>
      </c>
    </row>
    <row r="430" spans="1:8">
      <c r="A430" s="8" t="s">
        <v>70</v>
      </c>
      <c r="B430" s="35" t="s">
        <v>14</v>
      </c>
      <c r="C430" s="49">
        <v>44039</v>
      </c>
      <c r="D430" s="51" t="s">
        <v>525</v>
      </c>
      <c r="E430" s="3">
        <f>1*110</f>
        <v>110</v>
      </c>
      <c r="F430" s="9" t="s">
        <v>74</v>
      </c>
      <c r="G430" s="9" t="str">
        <f>IF(IFERROR(VLOOKUP(D430,Payments!G:G,1,FALSE),"UNPAID")=D430,"yes","no")</f>
        <v>yes</v>
      </c>
    </row>
    <row r="431" spans="1:8">
      <c r="A431" s="8" t="s">
        <v>70</v>
      </c>
      <c r="B431" s="35" t="s">
        <v>15</v>
      </c>
      <c r="C431" s="49">
        <v>44039</v>
      </c>
      <c r="D431" s="51" t="s">
        <v>526</v>
      </c>
      <c r="E431" s="3">
        <f>2.25*110</f>
        <v>247.5</v>
      </c>
      <c r="F431" s="9" t="s">
        <v>72</v>
      </c>
      <c r="G431" s="9" t="str">
        <f>IF(IFERROR(VLOOKUP(D431,Payments!G:G,1,FALSE),"UNPAID")=D431,"yes","no")</f>
        <v>yes</v>
      </c>
    </row>
    <row r="432" spans="1:8">
      <c r="A432" s="8" t="s">
        <v>70</v>
      </c>
      <c r="B432" s="34" t="s">
        <v>16</v>
      </c>
      <c r="C432" s="49">
        <v>44039</v>
      </c>
      <c r="D432" s="51" t="s">
        <v>527</v>
      </c>
      <c r="E432" s="3">
        <v>1087.95</v>
      </c>
      <c r="F432" s="9" t="s">
        <v>74</v>
      </c>
      <c r="G432" s="9" t="str">
        <f>IF(IFERROR(VLOOKUP(D432,Payments!G:G,1,FALSE),"UNPAID")=D432,"yes","no")</f>
        <v>yes</v>
      </c>
    </row>
    <row r="433" spans="1:8">
      <c r="A433" s="8" t="s">
        <v>17</v>
      </c>
      <c r="B433" s="34" t="s">
        <v>18</v>
      </c>
      <c r="C433" s="49">
        <v>44024</v>
      </c>
      <c r="D433" s="51" t="s">
        <v>528</v>
      </c>
      <c r="E433" s="3">
        <v>46765.9</v>
      </c>
      <c r="F433" s="9" t="s">
        <v>72</v>
      </c>
      <c r="G433" s="9" t="str">
        <f>IF(IFERROR(VLOOKUP(D433,Payments!G:G,1,FALSE),"UNPAID")=D433,"yes","no")</f>
        <v>yes</v>
      </c>
      <c r="H433" s="24">
        <v>5123.18</v>
      </c>
    </row>
    <row r="434" spans="1:8">
      <c r="A434" s="8" t="s">
        <v>17</v>
      </c>
      <c r="B434" s="34" t="s">
        <v>18</v>
      </c>
      <c r="C434" s="49">
        <v>44024</v>
      </c>
      <c r="D434" s="51" t="s">
        <v>529</v>
      </c>
      <c r="E434" s="3">
        <f>287.5*125</f>
        <v>35937.5</v>
      </c>
      <c r="F434" s="9" t="s">
        <v>74</v>
      </c>
      <c r="G434" s="9" t="str">
        <f>IF(IFERROR(VLOOKUP(D434,Payments!G:G,1,FALSE),"UNPAID")=D434,"yes","no")</f>
        <v>yes</v>
      </c>
    </row>
    <row r="435" spans="1:8">
      <c r="A435" s="8" t="s">
        <v>17</v>
      </c>
      <c r="B435" s="34" t="s">
        <v>18</v>
      </c>
      <c r="C435" s="49">
        <v>44039</v>
      </c>
      <c r="D435" s="51" t="s">
        <v>530</v>
      </c>
      <c r="E435" s="3">
        <v>56777.18</v>
      </c>
      <c r="F435" s="9" t="s">
        <v>72</v>
      </c>
      <c r="G435" s="9" t="str">
        <f>IF(IFERROR(VLOOKUP(D435,Payments!G:G,1,FALSE),"UNPAID")=D435,"yes","no")</f>
        <v>yes</v>
      </c>
      <c r="H435" s="24">
        <v>2931.9</v>
      </c>
    </row>
    <row r="436" spans="1:8">
      <c r="A436" s="8" t="s">
        <v>17</v>
      </c>
      <c r="B436" s="35" t="s">
        <v>19</v>
      </c>
      <c r="C436" s="49">
        <v>44024</v>
      </c>
      <c r="D436" s="51" t="s">
        <v>531</v>
      </c>
      <c r="E436" s="3">
        <v>33323.339999999997</v>
      </c>
      <c r="F436" s="9" t="s">
        <v>72</v>
      </c>
      <c r="G436" s="9" t="str">
        <f>IF(IFERROR(VLOOKUP(D436,Payments!G:G,1,FALSE),"UNPAID")=D436,"yes","no")</f>
        <v>yes</v>
      </c>
      <c r="H436" s="24">
        <v>3095.7</v>
      </c>
    </row>
    <row r="437" spans="1:8">
      <c r="A437" s="8" t="s">
        <v>17</v>
      </c>
      <c r="B437" s="35" t="s">
        <v>19</v>
      </c>
      <c r="C437" s="49">
        <v>44024</v>
      </c>
      <c r="D437" s="51" t="s">
        <v>532</v>
      </c>
      <c r="E437" s="3">
        <f>132.25*125</f>
        <v>16531.25</v>
      </c>
      <c r="F437" s="9" t="s">
        <v>74</v>
      </c>
      <c r="G437" s="9" t="str">
        <f>IF(IFERROR(VLOOKUP(D437,Payments!G:G,1,FALSE),"UNPAID")=D437,"yes","no")</f>
        <v>yes</v>
      </c>
    </row>
    <row r="438" spans="1:8">
      <c r="A438" s="8" t="s">
        <v>17</v>
      </c>
      <c r="B438" s="35" t="s">
        <v>19</v>
      </c>
      <c r="C438" s="49">
        <v>44039</v>
      </c>
      <c r="D438" s="51" t="s">
        <v>533</v>
      </c>
      <c r="E438" s="3">
        <v>56488.37</v>
      </c>
      <c r="F438" s="9" t="s">
        <v>72</v>
      </c>
      <c r="G438" s="9" t="str">
        <f>IF(IFERROR(VLOOKUP(D438,Payments!G:G,1,FALSE),"UNPAID")=D438,"yes","no")</f>
        <v>yes</v>
      </c>
      <c r="H438" s="24">
        <v>4371.88</v>
      </c>
    </row>
    <row r="439" spans="1:8">
      <c r="A439" s="8" t="s">
        <v>17</v>
      </c>
      <c r="B439" s="35" t="s">
        <v>20</v>
      </c>
      <c r="C439" s="49">
        <v>44039</v>
      </c>
      <c r="D439" s="51" t="s">
        <v>534</v>
      </c>
      <c r="E439" s="3">
        <f>7.5*125</f>
        <v>937.5</v>
      </c>
      <c r="F439" s="9" t="s">
        <v>72</v>
      </c>
      <c r="G439" s="9" t="str">
        <f>IF(IFERROR(VLOOKUP(D439,Payments!G:G,1,FALSE),"UNPAID")=D439,"yes","no")</f>
        <v>yes</v>
      </c>
    </row>
    <row r="440" spans="1:8">
      <c r="A440" s="8" t="s">
        <v>17</v>
      </c>
      <c r="B440" s="35" t="s">
        <v>21</v>
      </c>
      <c r="C440" s="49">
        <v>44024</v>
      </c>
      <c r="D440" s="51" t="s">
        <v>535</v>
      </c>
      <c r="E440" s="3">
        <v>19559.18</v>
      </c>
      <c r="F440" s="9" t="s">
        <v>72</v>
      </c>
      <c r="G440" s="9" t="str">
        <f>IF(IFERROR(VLOOKUP(D440,Payments!G:G,1,FALSE),"UNPAID")=D440,"yes","no")</f>
        <v>no</v>
      </c>
      <c r="H440" s="24">
        <v>867.7</v>
      </c>
    </row>
    <row r="441" spans="1:8">
      <c r="A441" s="8" t="s">
        <v>17</v>
      </c>
      <c r="B441" s="34" t="s">
        <v>21</v>
      </c>
      <c r="C441" s="49">
        <v>44024</v>
      </c>
      <c r="D441" s="51" t="s">
        <v>536</v>
      </c>
      <c r="E441" s="3">
        <f>44.25*125</f>
        <v>5531.25</v>
      </c>
      <c r="F441" s="9" t="s">
        <v>74</v>
      </c>
      <c r="G441" s="9" t="str">
        <f>IF(IFERROR(VLOOKUP(D441,Payments!G:G,1,FALSE),"UNPAID")=D441,"yes","no")</f>
        <v>yes</v>
      </c>
    </row>
    <row r="442" spans="1:8">
      <c r="A442" s="8" t="s">
        <v>17</v>
      </c>
      <c r="B442" s="35" t="s">
        <v>21</v>
      </c>
      <c r="C442" s="49">
        <v>44039</v>
      </c>
      <c r="D442" s="51" t="s">
        <v>537</v>
      </c>
      <c r="E442" s="3">
        <v>24413.05</v>
      </c>
      <c r="F442" s="9" t="s">
        <v>72</v>
      </c>
      <c r="G442" s="9" t="str">
        <f>IF(IFERROR(VLOOKUP(D442,Payments!G:G,1,FALSE),"UNPAID")=D442,"yes","no")</f>
        <v>yes</v>
      </c>
      <c r="H442" s="24">
        <v>459.62</v>
      </c>
    </row>
    <row r="443" spans="1:8">
      <c r="A443" s="8" t="s">
        <v>17</v>
      </c>
      <c r="B443" s="35" t="s">
        <v>22</v>
      </c>
      <c r="C443" s="49">
        <v>44039</v>
      </c>
      <c r="D443" s="51" t="s">
        <v>538</v>
      </c>
      <c r="E443" s="3">
        <v>7206.31</v>
      </c>
      <c r="F443" s="9" t="s">
        <v>72</v>
      </c>
      <c r="G443" s="9" t="str">
        <f>IF(IFERROR(VLOOKUP(D443,Payments!G:G,1,FALSE),"UNPAID")=D443,"yes","no")</f>
        <v>yes</v>
      </c>
    </row>
    <row r="444" spans="1:8">
      <c r="A444" s="8" t="s">
        <v>17</v>
      </c>
      <c r="B444" s="35" t="s">
        <v>22</v>
      </c>
      <c r="C444" s="49">
        <v>44039</v>
      </c>
      <c r="D444" s="51" t="s">
        <v>539</v>
      </c>
      <c r="E444" s="3">
        <f>264.75*125</f>
        <v>33093.75</v>
      </c>
      <c r="F444" s="9" t="s">
        <v>74</v>
      </c>
      <c r="G444" s="9" t="str">
        <f>IF(IFERROR(VLOOKUP(D444,Payments!G:G,1,FALSE),"UNPAID")=D444,"yes","no")</f>
        <v>yes</v>
      </c>
    </row>
    <row r="445" spans="1:8">
      <c r="A445" s="8" t="s">
        <v>17</v>
      </c>
      <c r="B445" s="35" t="s">
        <v>22</v>
      </c>
      <c r="C445" s="49">
        <v>44039</v>
      </c>
      <c r="D445" s="51" t="s">
        <v>540</v>
      </c>
      <c r="E445" s="3">
        <v>4694.3999999999996</v>
      </c>
      <c r="F445" s="9" t="s">
        <v>327</v>
      </c>
      <c r="G445" s="9" t="str">
        <f>IF(IFERROR(VLOOKUP(D445,Payments!G:G,1,FALSE),"UNPAID")=D445,"yes","no")</f>
        <v>no</v>
      </c>
    </row>
    <row r="446" spans="1:8">
      <c r="A446" s="8" t="s">
        <v>17</v>
      </c>
      <c r="B446" s="35" t="s">
        <v>23</v>
      </c>
      <c r="C446" s="49">
        <v>44039</v>
      </c>
      <c r="D446" s="51" t="s">
        <v>541</v>
      </c>
      <c r="E446" s="3">
        <v>6127.17</v>
      </c>
      <c r="F446" s="9" t="s">
        <v>72</v>
      </c>
      <c r="G446" s="9" t="str">
        <f>IF(IFERROR(VLOOKUP(D446,Payments!G:G,1,FALSE),"UNPAID")=D446,"yes","no")</f>
        <v>yes</v>
      </c>
    </row>
    <row r="447" spans="1:8">
      <c r="A447" s="8" t="s">
        <v>17</v>
      </c>
      <c r="B447" s="35" t="s">
        <v>23</v>
      </c>
      <c r="C447" s="49">
        <v>44039</v>
      </c>
      <c r="D447" s="51" t="s">
        <v>542</v>
      </c>
      <c r="E447" s="3">
        <v>3999.2</v>
      </c>
      <c r="F447" s="9" t="s">
        <v>327</v>
      </c>
      <c r="G447" s="9" t="str">
        <f>IF(IFERROR(VLOOKUP(D447,Payments!G:G,1,FALSE),"UNPAID")=D447,"yes","no")</f>
        <v>no</v>
      </c>
    </row>
    <row r="448" spans="1:8" ht="32.25" customHeight="1">
      <c r="A448" s="8" t="s">
        <v>17</v>
      </c>
      <c r="B448" s="35" t="s">
        <v>24</v>
      </c>
      <c r="C448" s="49">
        <v>44039</v>
      </c>
      <c r="D448" s="51" t="s">
        <v>543</v>
      </c>
      <c r="E448" s="3">
        <f>2.5*125</f>
        <v>312.5</v>
      </c>
      <c r="F448" s="9" t="s">
        <v>74</v>
      </c>
      <c r="G448" s="9" t="str">
        <f>IF(IFERROR(VLOOKUP(D448,Payments!G:G,1,FALSE),"UNPAID")=D448,"yes","no")</f>
        <v>yes</v>
      </c>
    </row>
    <row r="449" spans="1:9" ht="24">
      <c r="A449" s="8" t="s">
        <v>17</v>
      </c>
      <c r="B449" s="35" t="s">
        <v>25</v>
      </c>
      <c r="C449" s="49">
        <v>44039</v>
      </c>
      <c r="D449" s="51" t="s">
        <v>544</v>
      </c>
      <c r="E449" s="19">
        <v>156.25</v>
      </c>
      <c r="F449" s="9" t="s">
        <v>74</v>
      </c>
      <c r="G449" s="9" t="str">
        <f>IF(IFERROR(VLOOKUP(D449,Payments!G:G,1,FALSE),"UNPAID")=D449,"yes","no")</f>
        <v>yes</v>
      </c>
      <c r="I449" s="28" t="s">
        <v>545</v>
      </c>
    </row>
    <row r="450" spans="1:9">
      <c r="A450" s="8" t="s">
        <v>17</v>
      </c>
      <c r="B450" s="35" t="s">
        <v>26</v>
      </c>
      <c r="C450" s="49">
        <v>44039</v>
      </c>
      <c r="D450" s="51" t="s">
        <v>546</v>
      </c>
      <c r="E450" s="3">
        <f>1.25*150</f>
        <v>187.5</v>
      </c>
      <c r="F450" s="9" t="s">
        <v>74</v>
      </c>
      <c r="G450" s="9" t="str">
        <f>IF(IFERROR(VLOOKUP(D450,Payments!G:G,1,FALSE),"UNPAID")=D450,"yes","no")</f>
        <v>yes</v>
      </c>
      <c r="I450" s="29"/>
    </row>
    <row r="451" spans="1:9">
      <c r="B451" s="35" t="s">
        <v>31</v>
      </c>
      <c r="C451" s="49">
        <v>44039</v>
      </c>
      <c r="D451" s="51" t="s">
        <v>547</v>
      </c>
      <c r="E451" s="3">
        <v>5288.08</v>
      </c>
      <c r="F451" s="9" t="s">
        <v>72</v>
      </c>
      <c r="G451" s="9" t="str">
        <f>IF(IFERROR(VLOOKUP(D451,Payments!G:G,1,FALSE),"UNPAID")=D451,"yes","no")</f>
        <v>yes</v>
      </c>
      <c r="H451" s="24">
        <v>464.76</v>
      </c>
      <c r="I451" s="29"/>
    </row>
    <row r="452" spans="1:9">
      <c r="B452" s="35" t="s">
        <v>31</v>
      </c>
      <c r="C452" s="49">
        <v>44039</v>
      </c>
      <c r="D452" s="51" t="s">
        <v>548</v>
      </c>
      <c r="E452" s="3">
        <f>1.5*110</f>
        <v>165</v>
      </c>
      <c r="F452" s="9" t="s">
        <v>74</v>
      </c>
      <c r="G452" s="9" t="str">
        <f>IF(IFERROR(VLOOKUP(D452,Payments!G:G,1,FALSE),"UNPAID")=D452,"yes","no")</f>
        <v>yes</v>
      </c>
      <c r="H452" s="24"/>
    </row>
    <row r="453" spans="1:9">
      <c r="B453" s="35" t="s">
        <v>32</v>
      </c>
      <c r="C453" s="49">
        <v>44039</v>
      </c>
      <c r="D453" s="51" t="s">
        <v>549</v>
      </c>
      <c r="E453" s="3">
        <v>3031.27</v>
      </c>
      <c r="F453" s="9" t="s">
        <v>72</v>
      </c>
      <c r="G453" s="9" t="str">
        <f>IF(IFERROR(VLOOKUP(D453,Payments!G:G,1,FALSE),"UNPAID")=D453,"yes","no")</f>
        <v>yes</v>
      </c>
      <c r="H453" s="24">
        <v>37.03</v>
      </c>
    </row>
    <row r="454" spans="1:9">
      <c r="B454" s="34" t="s">
        <v>119</v>
      </c>
      <c r="C454" s="49">
        <v>44024</v>
      </c>
      <c r="D454" s="51" t="s">
        <v>550</v>
      </c>
      <c r="E454" s="3">
        <v>10096.65</v>
      </c>
      <c r="F454" s="9" t="s">
        <v>72</v>
      </c>
      <c r="G454" s="9" t="str">
        <f>IF(IFERROR(VLOOKUP(D454,Payments!G:G,1,FALSE),"UNPAID")=D454,"yes","no")</f>
        <v>yes</v>
      </c>
      <c r="H454" s="24">
        <v>2365.5500000000002</v>
      </c>
    </row>
    <row r="455" spans="1:9">
      <c r="B455" s="34" t="s">
        <v>119</v>
      </c>
      <c r="C455" s="49">
        <v>44039</v>
      </c>
      <c r="D455" s="51" t="s">
        <v>551</v>
      </c>
      <c r="E455" s="3">
        <v>10367.65</v>
      </c>
      <c r="F455" s="9" t="s">
        <v>72</v>
      </c>
      <c r="G455" s="9" t="str">
        <f>IF(IFERROR(VLOOKUP(D455,Payments!G:G,1,FALSE),"UNPAID")=D455,"yes","no")</f>
        <v>yes</v>
      </c>
      <c r="H455" s="24">
        <v>3409.85</v>
      </c>
    </row>
    <row r="456" spans="1:9">
      <c r="B456" s="35" t="s">
        <v>37</v>
      </c>
      <c r="C456" s="49">
        <v>44039</v>
      </c>
      <c r="D456" s="51" t="s">
        <v>552</v>
      </c>
      <c r="E456" s="3">
        <v>52661.47</v>
      </c>
      <c r="F456" s="9" t="s">
        <v>72</v>
      </c>
      <c r="G456" s="9" t="str">
        <f>IF(IFERROR(VLOOKUP(D456,Payments!G:G,1,FALSE),"UNPAID")=D456,"yes","no")</f>
        <v>yes</v>
      </c>
      <c r="H456" s="24">
        <v>3942.68</v>
      </c>
      <c r="I456" s="27" t="s">
        <v>553</v>
      </c>
    </row>
    <row r="457" spans="1:9">
      <c r="B457" s="35" t="s">
        <v>37</v>
      </c>
      <c r="C457" s="49">
        <v>44039</v>
      </c>
      <c r="D457" s="51" t="s">
        <v>554</v>
      </c>
      <c r="E457" s="3">
        <f>62*150</f>
        <v>9300</v>
      </c>
      <c r="F457" s="9" t="s">
        <v>74</v>
      </c>
      <c r="G457" s="9" t="str">
        <f>IF(IFERROR(VLOOKUP(D457,Payments!G:G,1,FALSE),"UNPAID")=D457,"yes","no")</f>
        <v>yes</v>
      </c>
    </row>
    <row r="458" spans="1:9">
      <c r="B458" s="35" t="s">
        <v>39</v>
      </c>
      <c r="C458" s="49">
        <v>44039</v>
      </c>
      <c r="D458" s="51" t="s">
        <v>555</v>
      </c>
      <c r="E458" s="3">
        <v>8032.86</v>
      </c>
      <c r="F458" s="9" t="s">
        <v>72</v>
      </c>
      <c r="G458" s="9" t="str">
        <f>IF(IFERROR(VLOOKUP(D458,Payments!G:G,1,FALSE),"UNPAID")=D458,"yes","no")</f>
        <v>yes</v>
      </c>
    </row>
    <row r="459" spans="1:9">
      <c r="B459" s="35" t="s">
        <v>39</v>
      </c>
      <c r="C459" s="49">
        <v>44039</v>
      </c>
      <c r="D459" s="51" t="s">
        <v>556</v>
      </c>
      <c r="E459" s="3">
        <v>500</v>
      </c>
      <c r="F459" s="9" t="s">
        <v>74</v>
      </c>
      <c r="G459" s="9" t="str">
        <f>IF(IFERROR(VLOOKUP(D459,Payments!G:G,1,FALSE),"UNPAID")=D459,"yes","no")</f>
        <v>yes</v>
      </c>
    </row>
    <row r="460" spans="1:9">
      <c r="B460" s="35" t="s">
        <v>40</v>
      </c>
      <c r="C460" s="49">
        <v>44039</v>
      </c>
      <c r="D460" s="51" t="s">
        <v>557</v>
      </c>
      <c r="E460" s="3">
        <v>1498.84</v>
      </c>
      <c r="F460" s="9" t="s">
        <v>72</v>
      </c>
      <c r="G460" s="9" t="str">
        <f>IF(IFERROR(VLOOKUP(D460,Payments!G:G,1,FALSE),"UNPAID")=D460,"yes","no")</f>
        <v>yes</v>
      </c>
      <c r="H460" s="24">
        <v>27.07</v>
      </c>
    </row>
    <row r="461" spans="1:9">
      <c r="B461" s="35" t="s">
        <v>41</v>
      </c>
      <c r="C461" s="49">
        <v>44039</v>
      </c>
      <c r="D461" s="51" t="s">
        <v>558</v>
      </c>
      <c r="E461" s="3">
        <v>4550.24</v>
      </c>
      <c r="F461" s="9" t="s">
        <v>72</v>
      </c>
      <c r="G461" s="9" t="str">
        <f>IF(IFERROR(VLOOKUP(D461,Payments!G:G,1,FALSE),"UNPAID")=D461,"yes","no")</f>
        <v>yes</v>
      </c>
    </row>
    <row r="462" spans="1:9">
      <c r="B462" s="35" t="s">
        <v>41</v>
      </c>
      <c r="C462" s="49">
        <v>44039</v>
      </c>
      <c r="D462" s="51" t="s">
        <v>559</v>
      </c>
      <c r="E462" s="3">
        <v>500</v>
      </c>
      <c r="F462" s="9" t="s">
        <v>74</v>
      </c>
      <c r="G462" s="9" t="str">
        <f>IF(IFERROR(VLOOKUP(D462,Payments!G:G,1,FALSE),"UNPAID")=D462,"yes","no")</f>
        <v>yes</v>
      </c>
    </row>
    <row r="463" spans="1:9">
      <c r="B463" s="35" t="s">
        <v>131</v>
      </c>
      <c r="C463" s="49">
        <v>44039</v>
      </c>
      <c r="D463" s="51" t="s">
        <v>560</v>
      </c>
      <c r="E463" s="3">
        <v>22010.51</v>
      </c>
      <c r="F463" s="9" t="s">
        <v>72</v>
      </c>
      <c r="G463" s="9" t="str">
        <f>IF(IFERROR(VLOOKUP(D463,Payments!G:G,1,FALSE),"UNPAID")=D463,"yes","no")</f>
        <v>yes</v>
      </c>
      <c r="H463" s="24">
        <v>1832.86</v>
      </c>
    </row>
    <row r="464" spans="1:9">
      <c r="B464" s="35" t="s">
        <v>131</v>
      </c>
      <c r="C464" s="49">
        <v>44039</v>
      </c>
      <c r="D464" s="51" t="s">
        <v>561</v>
      </c>
      <c r="E464" s="3">
        <v>20833.330000000002</v>
      </c>
      <c r="F464" s="9" t="s">
        <v>74</v>
      </c>
      <c r="G464" s="9" t="str">
        <f>IF(IFERROR(VLOOKUP(D464,Payments!G:G,1,FALSE),"UNPAID")=D464,"yes","no")</f>
        <v>no</v>
      </c>
    </row>
    <row r="465" spans="1:8">
      <c r="B465" s="35" t="s">
        <v>50</v>
      </c>
      <c r="C465" s="49">
        <v>44039</v>
      </c>
      <c r="D465" s="51" t="s">
        <v>562</v>
      </c>
      <c r="E465" s="3">
        <v>1472</v>
      </c>
      <c r="F465" s="9" t="s">
        <v>204</v>
      </c>
      <c r="G465" s="9" t="str">
        <f>IF(IFERROR(VLOOKUP(D465,Payments!G:G,1,FALSE),"UNPAID")=D465,"yes","no")</f>
        <v>yes</v>
      </c>
    </row>
    <row r="466" spans="1:8">
      <c r="B466" s="34" t="s">
        <v>52</v>
      </c>
      <c r="C466" s="49">
        <v>44039</v>
      </c>
      <c r="D466" s="51" t="s">
        <v>563</v>
      </c>
      <c r="E466" s="3">
        <v>675.4</v>
      </c>
      <c r="F466" s="9" t="s">
        <v>204</v>
      </c>
      <c r="G466" s="9" t="str">
        <f>IF(IFERROR(VLOOKUP(D466,Payments!G:G,1,FALSE),"UNPAID")=D466,"yes","no")</f>
        <v>yes</v>
      </c>
    </row>
    <row r="467" spans="1:8">
      <c r="B467" s="35" t="s">
        <v>53</v>
      </c>
      <c r="C467" s="49">
        <v>44039</v>
      </c>
      <c r="D467" s="51" t="s">
        <v>564</v>
      </c>
      <c r="E467" s="3">
        <v>1715</v>
      </c>
      <c r="F467" s="9" t="s">
        <v>204</v>
      </c>
      <c r="G467" s="9" t="str">
        <f>IF(IFERROR(VLOOKUP(D467,Payments!G:G,1,FALSE),"UNPAID")=D467,"yes","no")</f>
        <v>yes</v>
      </c>
    </row>
    <row r="468" spans="1:8">
      <c r="B468" s="35" t="s">
        <v>54</v>
      </c>
      <c r="C468" s="49">
        <v>44039</v>
      </c>
      <c r="D468" s="51" t="s">
        <v>565</v>
      </c>
      <c r="E468" s="3">
        <v>447</v>
      </c>
      <c r="F468" s="9" t="s">
        <v>204</v>
      </c>
      <c r="G468" s="9" t="str">
        <f>IF(IFERROR(VLOOKUP(D468,Payments!G:G,1,FALSE),"UNPAID")=D468,"yes","no")</f>
        <v>yes</v>
      </c>
    </row>
    <row r="469" spans="1:8">
      <c r="B469" s="35" t="s">
        <v>56</v>
      </c>
      <c r="C469" s="49">
        <v>44039</v>
      </c>
      <c r="D469" s="51" t="s">
        <v>566</v>
      </c>
      <c r="E469" s="3">
        <v>110.05</v>
      </c>
      <c r="F469" s="9" t="s">
        <v>204</v>
      </c>
      <c r="G469" s="9" t="str">
        <f>IF(IFERROR(VLOOKUP(D469,Payments!G:G,1,FALSE),"UNPAID")=D469,"yes","no")</f>
        <v>yes</v>
      </c>
    </row>
    <row r="470" spans="1:8">
      <c r="B470" s="35" t="s">
        <v>567</v>
      </c>
      <c r="C470" s="49">
        <v>44039</v>
      </c>
      <c r="D470" s="51" t="s">
        <v>568</v>
      </c>
      <c r="E470" s="3">
        <v>105</v>
      </c>
      <c r="F470" s="9" t="s">
        <v>204</v>
      </c>
      <c r="G470" s="9" t="str">
        <f>IF(IFERROR(VLOOKUP(D470,Payments!G:G,1,FALSE),"UNPAID")=D470,"yes","no")</f>
        <v>yes</v>
      </c>
    </row>
    <row r="471" spans="1:8">
      <c r="B471" s="35" t="s">
        <v>58</v>
      </c>
      <c r="C471" s="49">
        <v>44039</v>
      </c>
      <c r="D471" s="51" t="s">
        <v>569</v>
      </c>
      <c r="E471" s="3">
        <v>50</v>
      </c>
      <c r="F471" s="9" t="s">
        <v>204</v>
      </c>
      <c r="G471" s="9" t="str">
        <f>IF(IFERROR(VLOOKUP(D471,Payments!G:G,1,FALSE),"UNPAID")=D471,"yes","no")</f>
        <v>yes</v>
      </c>
    </row>
    <row r="472" spans="1:8">
      <c r="B472" s="34" t="s">
        <v>59</v>
      </c>
      <c r="C472" s="49">
        <v>44039</v>
      </c>
      <c r="D472" s="51" t="s">
        <v>570</v>
      </c>
      <c r="E472" s="3">
        <v>784.9</v>
      </c>
      <c r="F472" s="9" t="s">
        <v>204</v>
      </c>
      <c r="G472" s="9" t="str">
        <f>IF(IFERROR(VLOOKUP(D472,Payments!G:G,1,FALSE),"UNPAID")=D472,"yes","no")</f>
        <v>yes</v>
      </c>
    </row>
    <row r="473" spans="1:8">
      <c r="B473" s="35" t="s">
        <v>60</v>
      </c>
      <c r="C473" s="49">
        <v>44039</v>
      </c>
      <c r="D473" s="51" t="s">
        <v>571</v>
      </c>
      <c r="E473" s="3">
        <v>674</v>
      </c>
      <c r="F473" s="9" t="s">
        <v>204</v>
      </c>
      <c r="G473" s="9" t="str">
        <f>IF(IFERROR(VLOOKUP(D473,Payments!G:G,1,FALSE),"UNPAID")=D473,"yes","no")</f>
        <v>yes</v>
      </c>
    </row>
    <row r="474" spans="1:8">
      <c r="B474" s="34" t="s">
        <v>62</v>
      </c>
      <c r="C474" s="49">
        <v>44039</v>
      </c>
      <c r="D474" s="51" t="s">
        <v>572</v>
      </c>
      <c r="E474" s="3">
        <v>110.05</v>
      </c>
      <c r="F474" s="9" t="s">
        <v>204</v>
      </c>
      <c r="G474" s="9" t="str">
        <f>IF(IFERROR(VLOOKUP(D474,Payments!G:G,1,FALSE),"UNPAID")=D474,"yes","no")</f>
        <v>yes</v>
      </c>
    </row>
    <row r="475" spans="1:8">
      <c r="B475" s="35" t="s">
        <v>63</v>
      </c>
      <c r="C475" s="49">
        <v>44039</v>
      </c>
      <c r="D475" s="51" t="s">
        <v>573</v>
      </c>
      <c r="E475" s="3">
        <v>744</v>
      </c>
      <c r="F475" s="9" t="s">
        <v>204</v>
      </c>
      <c r="G475" s="9" t="str">
        <f>IF(IFERROR(VLOOKUP(D475,Payments!G:G,1,FALSE),"UNPAID")=D475,"yes","no")</f>
        <v>yes</v>
      </c>
    </row>
    <row r="476" spans="1:8">
      <c r="A476" s="8" t="s">
        <v>70</v>
      </c>
      <c r="B476" s="34" t="s">
        <v>6</v>
      </c>
      <c r="C476" s="49">
        <v>44055</v>
      </c>
      <c r="D476" s="11" t="s">
        <v>574</v>
      </c>
      <c r="E476" s="3">
        <v>38007.910000000003</v>
      </c>
      <c r="F476" s="9" t="s">
        <v>72</v>
      </c>
      <c r="G476" s="9" t="str">
        <f>IF(IFERROR(VLOOKUP(D476,Payments!G:G,1,FALSE),"UNPAID")=D476,"yes","no")</f>
        <v>yes</v>
      </c>
      <c r="H476" s="24">
        <v>3735.86</v>
      </c>
    </row>
    <row r="477" spans="1:8">
      <c r="A477" s="8" t="s">
        <v>70</v>
      </c>
      <c r="B477" s="34" t="s">
        <v>6</v>
      </c>
      <c r="C477" s="49">
        <v>44055</v>
      </c>
      <c r="D477" s="11" t="s">
        <v>575</v>
      </c>
      <c r="E477" s="3">
        <f>119.5*110</f>
        <v>13145</v>
      </c>
      <c r="F477" s="9" t="s">
        <v>74</v>
      </c>
      <c r="G477" s="9" t="str">
        <f>IF(IFERROR(VLOOKUP(D477,Payments!G:G,1,FALSE),"UNPAID")=D477,"yes","no")</f>
        <v>no</v>
      </c>
    </row>
    <row r="478" spans="1:8">
      <c r="A478" s="8" t="s">
        <v>70</v>
      </c>
      <c r="B478" s="34" t="s">
        <v>6</v>
      </c>
      <c r="C478" s="49">
        <v>44070</v>
      </c>
      <c r="D478" s="11" t="s">
        <v>576</v>
      </c>
      <c r="E478" s="3">
        <v>44115.040000000001</v>
      </c>
      <c r="F478" s="9" t="s">
        <v>72</v>
      </c>
      <c r="G478" s="9" t="str">
        <f>IF(IFERROR(VLOOKUP(D478,Payments!G:G,1,FALSE),"UNPAID")=D478,"yes","no")</f>
        <v>no</v>
      </c>
      <c r="H478" s="24">
        <v>3410.56</v>
      </c>
    </row>
    <row r="479" spans="1:8">
      <c r="A479" s="8" t="s">
        <v>70</v>
      </c>
      <c r="B479" s="34" t="s">
        <v>7</v>
      </c>
      <c r="C479" s="49">
        <v>44055</v>
      </c>
      <c r="D479" s="11" t="s">
        <v>577</v>
      </c>
      <c r="E479" s="3">
        <v>25011.18</v>
      </c>
      <c r="F479" s="9" t="s">
        <v>72</v>
      </c>
      <c r="G479" s="9" t="str">
        <f>IF(IFERROR(VLOOKUP(D479,Payments!G:G,1,FALSE),"UNPAID")=D479,"yes","no")</f>
        <v>yes</v>
      </c>
      <c r="H479" s="24">
        <v>754.24</v>
      </c>
    </row>
    <row r="480" spans="1:8">
      <c r="A480" s="8" t="s">
        <v>70</v>
      </c>
      <c r="B480" s="34" t="s">
        <v>7</v>
      </c>
      <c r="C480" s="49">
        <v>44055</v>
      </c>
      <c r="D480" s="11" t="s">
        <v>578</v>
      </c>
      <c r="E480" s="3">
        <f>102.25*110</f>
        <v>11247.5</v>
      </c>
      <c r="F480" s="9" t="s">
        <v>74</v>
      </c>
      <c r="G480" s="9" t="str">
        <f>IF(IFERROR(VLOOKUP(D480,Payments!G:G,1,FALSE),"UNPAID")=D480,"yes","no")</f>
        <v>no</v>
      </c>
    </row>
    <row r="481" spans="1:8">
      <c r="A481" s="8" t="s">
        <v>70</v>
      </c>
      <c r="B481" s="34" t="s">
        <v>7</v>
      </c>
      <c r="C481" s="49">
        <v>44070</v>
      </c>
      <c r="D481" s="11" t="s">
        <v>579</v>
      </c>
      <c r="E481" s="3">
        <v>26565.33</v>
      </c>
      <c r="F481" s="9" t="s">
        <v>72</v>
      </c>
      <c r="G481" s="9" t="str">
        <f>IF(IFERROR(VLOOKUP(D481,Payments!G:G,1,FALSE),"UNPAID")=D481,"yes","no")</f>
        <v>yes</v>
      </c>
      <c r="H481" s="24">
        <v>271.02999999999997</v>
      </c>
    </row>
    <row r="482" spans="1:8">
      <c r="A482" s="8" t="s">
        <v>70</v>
      </c>
      <c r="B482" s="35" t="s">
        <v>8</v>
      </c>
      <c r="C482" s="49">
        <v>44070</v>
      </c>
      <c r="D482" s="12" t="s">
        <v>580</v>
      </c>
      <c r="E482" s="3">
        <v>9487.85</v>
      </c>
      <c r="F482" s="9" t="s">
        <v>72</v>
      </c>
      <c r="G482" s="9" t="str">
        <f>IF(IFERROR(VLOOKUP(D482,Payments!G:G,1,FALSE),"UNPAID")=D482,"yes","no")</f>
        <v>yes</v>
      </c>
      <c r="H482" s="24">
        <v>923.54</v>
      </c>
    </row>
    <row r="483" spans="1:8">
      <c r="A483" s="8" t="s">
        <v>70</v>
      </c>
      <c r="B483" s="35" t="s">
        <v>8</v>
      </c>
      <c r="C483" s="49">
        <v>44070</v>
      </c>
      <c r="D483" s="12" t="s">
        <v>581</v>
      </c>
      <c r="E483" s="3">
        <f>16.5*110</f>
        <v>1815</v>
      </c>
      <c r="F483" s="9" t="s">
        <v>74</v>
      </c>
      <c r="G483" s="9" t="str">
        <f>IF(IFERROR(VLOOKUP(D483,Payments!G:G,1,FALSE),"UNPAID")=D483,"yes","no")</f>
        <v>yes</v>
      </c>
    </row>
    <row r="484" spans="1:8">
      <c r="A484" s="8" t="s">
        <v>70</v>
      </c>
      <c r="B484" s="35" t="s">
        <v>9</v>
      </c>
      <c r="C484" s="49">
        <v>44070</v>
      </c>
      <c r="D484" s="12" t="s">
        <v>582</v>
      </c>
      <c r="E484" s="3">
        <v>2005.49</v>
      </c>
      <c r="F484" s="9" t="s">
        <v>72</v>
      </c>
      <c r="G484" s="9" t="str">
        <f>IF(IFERROR(VLOOKUP(D484,Payments!G:G,1,FALSE),"UNPAID")=D484,"yes","no")</f>
        <v>yes</v>
      </c>
      <c r="H484" s="24">
        <v>29.95</v>
      </c>
    </row>
    <row r="485" spans="1:8">
      <c r="A485" s="8" t="s">
        <v>70</v>
      </c>
      <c r="B485" s="35" t="s">
        <v>9</v>
      </c>
      <c r="C485" s="49">
        <v>44070</v>
      </c>
      <c r="D485" s="12" t="s">
        <v>583</v>
      </c>
      <c r="E485" s="3">
        <f>2.75*110</f>
        <v>302.5</v>
      </c>
      <c r="F485" s="9" t="s">
        <v>74</v>
      </c>
      <c r="G485" s="9" t="str">
        <f>IF(IFERROR(VLOOKUP(D485,Payments!G:G,1,FALSE),"UNPAID")=D485,"yes","no")</f>
        <v>yes</v>
      </c>
    </row>
    <row r="486" spans="1:8">
      <c r="A486" s="8" t="s">
        <v>70</v>
      </c>
      <c r="B486" s="34" t="s">
        <v>10</v>
      </c>
      <c r="C486" s="49">
        <v>44070</v>
      </c>
      <c r="D486" s="50" t="s">
        <v>584</v>
      </c>
      <c r="E486" s="3">
        <v>780.32</v>
      </c>
      <c r="F486" s="9" t="s">
        <v>72</v>
      </c>
      <c r="G486" s="9" t="str">
        <f>IF(IFERROR(VLOOKUP(D486,Payments!G:G,1,FALSE),"UNPAID")=D486,"yes","no")</f>
        <v>yes</v>
      </c>
      <c r="H486" s="24">
        <v>29.95</v>
      </c>
    </row>
    <row r="487" spans="1:8">
      <c r="A487" s="8" t="s">
        <v>70</v>
      </c>
      <c r="B487" s="34" t="s">
        <v>10</v>
      </c>
      <c r="C487" s="49">
        <v>44070</v>
      </c>
      <c r="D487" s="50" t="s">
        <v>585</v>
      </c>
      <c r="E487" s="3">
        <f>12.25*110</f>
        <v>1347.5</v>
      </c>
      <c r="F487" s="9" t="s">
        <v>74</v>
      </c>
      <c r="G487" s="9" t="str">
        <f>IF(IFERROR(VLOOKUP(D487,Payments!G:G,1,FALSE),"UNPAID")=D487,"yes","no")</f>
        <v>yes</v>
      </c>
    </row>
    <row r="488" spans="1:8">
      <c r="A488" s="8" t="s">
        <v>70</v>
      </c>
      <c r="B488" s="34" t="s">
        <v>11</v>
      </c>
      <c r="C488" s="49">
        <v>44070</v>
      </c>
      <c r="D488" s="51" t="s">
        <v>586</v>
      </c>
      <c r="E488" s="3">
        <v>7252.26</v>
      </c>
      <c r="F488" s="9" t="s">
        <v>72</v>
      </c>
      <c r="G488" s="9" t="str">
        <f>IF(IFERROR(VLOOKUP(D488,Payments!G:G,1,FALSE),"UNPAID")=D488,"yes","no")</f>
        <v>yes</v>
      </c>
      <c r="H488" s="24">
        <v>136.02000000000001</v>
      </c>
    </row>
    <row r="489" spans="1:8">
      <c r="A489" s="8" t="s">
        <v>70</v>
      </c>
      <c r="B489" s="34" t="s">
        <v>11</v>
      </c>
      <c r="C489" s="49">
        <v>44070</v>
      </c>
      <c r="D489" s="51" t="s">
        <v>587</v>
      </c>
      <c r="E489" s="3">
        <f>11.25*110</f>
        <v>1237.5</v>
      </c>
      <c r="F489" s="9" t="s">
        <v>74</v>
      </c>
      <c r="G489" s="9" t="str">
        <f>IF(IFERROR(VLOOKUP(D489,Payments!G:G,1,FALSE),"UNPAID")=D489,"yes","no")</f>
        <v>no</v>
      </c>
    </row>
    <row r="490" spans="1:8">
      <c r="A490" s="8" t="s">
        <v>70</v>
      </c>
      <c r="B490" s="35" t="s">
        <v>12</v>
      </c>
      <c r="C490" s="49">
        <v>44070</v>
      </c>
      <c r="D490" s="51" t="s">
        <v>588</v>
      </c>
      <c r="E490" s="3">
        <v>926.75</v>
      </c>
      <c r="F490" s="9" t="s">
        <v>72</v>
      </c>
      <c r="G490" s="9" t="str">
        <f>IF(IFERROR(VLOOKUP(D490,Payments!G:G,1,FALSE),"UNPAID")=D490,"yes","no")</f>
        <v>yes</v>
      </c>
    </row>
    <row r="491" spans="1:8">
      <c r="A491" s="8" t="s">
        <v>70</v>
      </c>
      <c r="B491" s="35" t="s">
        <v>12</v>
      </c>
      <c r="C491" s="49">
        <v>44070</v>
      </c>
      <c r="D491" s="51" t="s">
        <v>589</v>
      </c>
      <c r="E491" s="3">
        <f>2.25*110</f>
        <v>247.5</v>
      </c>
      <c r="F491" s="9" t="s">
        <v>74</v>
      </c>
      <c r="G491" s="9" t="str">
        <f>IF(IFERROR(VLOOKUP(D491,Payments!G:G,1,FALSE),"UNPAID")=D491,"yes","no")</f>
        <v>yes</v>
      </c>
    </row>
    <row r="492" spans="1:8">
      <c r="A492" s="8" t="s">
        <v>70</v>
      </c>
      <c r="B492" s="35" t="s">
        <v>13</v>
      </c>
      <c r="C492" s="49">
        <v>44070</v>
      </c>
      <c r="D492" s="51" t="s">
        <v>590</v>
      </c>
      <c r="E492" s="3">
        <v>100</v>
      </c>
      <c r="F492" s="9" t="s">
        <v>74</v>
      </c>
      <c r="G492" s="9" t="str">
        <f>IF(IFERROR(VLOOKUP(D492,Payments!G:G,1,FALSE),"UNPAID")=D492,"yes","no")</f>
        <v>yes</v>
      </c>
      <c r="H492" s="24">
        <v>50</v>
      </c>
    </row>
    <row r="493" spans="1:8">
      <c r="A493" s="8" t="s">
        <v>70</v>
      </c>
      <c r="B493" s="35" t="s">
        <v>14</v>
      </c>
      <c r="C493" s="49">
        <v>44070</v>
      </c>
      <c r="D493" s="51" t="s">
        <v>591</v>
      </c>
      <c r="E493" s="3">
        <v>1444.53</v>
      </c>
      <c r="F493" s="9" t="s">
        <v>72</v>
      </c>
      <c r="G493" s="9" t="str">
        <f>IF(IFERROR(VLOOKUP(D493,Payments!G:G,1,FALSE),"UNPAID")=D493,"yes","no")</f>
        <v>yes</v>
      </c>
      <c r="H493" s="24">
        <v>59.05</v>
      </c>
    </row>
    <row r="494" spans="1:8">
      <c r="A494" s="8" t="s">
        <v>70</v>
      </c>
      <c r="B494" s="35" t="s">
        <v>15</v>
      </c>
      <c r="C494" s="49">
        <v>44070</v>
      </c>
      <c r="D494" s="51" t="s">
        <v>592</v>
      </c>
      <c r="E494" s="3">
        <f>2.25*110</f>
        <v>247.5</v>
      </c>
      <c r="F494" s="9" t="s">
        <v>74</v>
      </c>
      <c r="G494" s="9" t="str">
        <f>IF(IFERROR(VLOOKUP(D494,Payments!G:G,1,FALSE),"UNPAID")=D494,"yes","no")</f>
        <v>no</v>
      </c>
    </row>
    <row r="495" spans="1:8">
      <c r="A495" s="8" t="s">
        <v>70</v>
      </c>
      <c r="B495" s="34" t="s">
        <v>16</v>
      </c>
      <c r="C495" s="49">
        <v>44070</v>
      </c>
      <c r="D495" s="51" t="s">
        <v>593</v>
      </c>
      <c r="E495" s="3">
        <v>208.3</v>
      </c>
      <c r="F495" s="9" t="s">
        <v>72</v>
      </c>
      <c r="G495" s="9" t="str">
        <f>IF(IFERROR(VLOOKUP(D495,Payments!G:G,1,FALSE),"UNPAID")=D495,"yes","no")</f>
        <v>yes</v>
      </c>
      <c r="H495" s="24">
        <v>69.28</v>
      </c>
    </row>
    <row r="496" spans="1:8">
      <c r="A496" s="8" t="s">
        <v>17</v>
      </c>
      <c r="B496" s="34" t="s">
        <v>18</v>
      </c>
      <c r="C496" s="49">
        <v>44055</v>
      </c>
      <c r="D496" s="51" t="s">
        <v>594</v>
      </c>
      <c r="E496" s="3">
        <v>54478.23</v>
      </c>
      <c r="F496" s="9" t="s">
        <v>72</v>
      </c>
      <c r="G496" s="9" t="str">
        <f>IF(IFERROR(VLOOKUP(D496,Payments!G:G,1,FALSE),"UNPAID")=D496,"yes","no")</f>
        <v>yes</v>
      </c>
      <c r="H496" s="24">
        <v>4267.5</v>
      </c>
    </row>
    <row r="497" spans="1:8">
      <c r="A497" s="8" t="s">
        <v>17</v>
      </c>
      <c r="B497" s="34" t="s">
        <v>18</v>
      </c>
      <c r="C497" s="49">
        <v>44055</v>
      </c>
      <c r="D497" s="51" t="s">
        <v>595</v>
      </c>
      <c r="E497" s="3">
        <f>254.75*125</f>
        <v>31843.75</v>
      </c>
      <c r="F497" s="9" t="s">
        <v>74</v>
      </c>
      <c r="G497" s="9" t="str">
        <f>IF(IFERROR(VLOOKUP(D497,Payments!G:G,1,FALSE),"UNPAID")=D497,"yes","no")</f>
        <v>yes</v>
      </c>
    </row>
    <row r="498" spans="1:8">
      <c r="A498" s="8" t="s">
        <v>17</v>
      </c>
      <c r="B498" s="34" t="s">
        <v>18</v>
      </c>
      <c r="C498" s="49">
        <v>44070</v>
      </c>
      <c r="D498" s="51" t="s">
        <v>596</v>
      </c>
      <c r="E498" s="3">
        <v>61362.01</v>
      </c>
      <c r="F498" s="9" t="s">
        <v>72</v>
      </c>
      <c r="G498" s="9" t="str">
        <f>IF(IFERROR(VLOOKUP(D498,Payments!G:G,1,FALSE),"UNPAID")=D498,"yes","no")</f>
        <v>yes</v>
      </c>
      <c r="H498" s="24">
        <v>6344.58</v>
      </c>
    </row>
    <row r="499" spans="1:8">
      <c r="A499" s="8" t="s">
        <v>17</v>
      </c>
      <c r="B499" s="35" t="s">
        <v>19</v>
      </c>
      <c r="C499" s="49">
        <v>44055</v>
      </c>
      <c r="D499" s="51" t="s">
        <v>597</v>
      </c>
      <c r="E499" s="3">
        <v>54244.800000000003</v>
      </c>
      <c r="F499" s="9" t="s">
        <v>72</v>
      </c>
      <c r="G499" s="9" t="str">
        <f>IF(IFERROR(VLOOKUP(D499,Payments!G:G,1,FALSE),"UNPAID")=D499,"yes","no")</f>
        <v>no</v>
      </c>
      <c r="H499" s="24">
        <v>4726.13</v>
      </c>
    </row>
    <row r="500" spans="1:8">
      <c r="A500" s="8" t="s">
        <v>17</v>
      </c>
      <c r="B500" s="35" t="s">
        <v>19</v>
      </c>
      <c r="C500" s="49">
        <v>44055</v>
      </c>
      <c r="D500" s="51" t="s">
        <v>598</v>
      </c>
      <c r="E500" s="3">
        <f>97.25*125</f>
        <v>12156.25</v>
      </c>
      <c r="F500" s="9" t="s">
        <v>74</v>
      </c>
      <c r="G500" s="9" t="str">
        <f>IF(IFERROR(VLOOKUP(D500,Payments!G:G,1,FALSE),"UNPAID")=D500,"yes","no")</f>
        <v>yes</v>
      </c>
    </row>
    <row r="501" spans="1:8">
      <c r="A501" s="8" t="s">
        <v>17</v>
      </c>
      <c r="B501" s="35" t="s">
        <v>19</v>
      </c>
      <c r="C501" s="49">
        <v>44070</v>
      </c>
      <c r="D501" s="51" t="s">
        <v>599</v>
      </c>
      <c r="E501" s="3">
        <v>50828.98</v>
      </c>
      <c r="F501" s="9" t="s">
        <v>72</v>
      </c>
      <c r="G501" s="9" t="str">
        <f>IF(IFERROR(VLOOKUP(D501,Payments!G:G,1,FALSE),"UNPAID")=D501,"yes","no")</f>
        <v>yes</v>
      </c>
      <c r="H501" s="24">
        <v>3772.17</v>
      </c>
    </row>
    <row r="502" spans="1:8">
      <c r="A502" s="8" t="s">
        <v>17</v>
      </c>
      <c r="B502" s="35" t="s">
        <v>20</v>
      </c>
      <c r="C502" s="49">
        <v>44070</v>
      </c>
      <c r="D502" s="51" t="s">
        <v>600</v>
      </c>
      <c r="E502" s="3">
        <f>9.75*125</f>
        <v>1218.75</v>
      </c>
      <c r="F502" s="9" t="s">
        <v>74</v>
      </c>
      <c r="G502" s="9" t="str">
        <f>IF(IFERROR(VLOOKUP(D502,Payments!G:G,1,FALSE),"UNPAID")=D502,"yes","no")</f>
        <v>yes</v>
      </c>
    </row>
    <row r="503" spans="1:8">
      <c r="A503" s="8" t="s">
        <v>17</v>
      </c>
      <c r="B503" s="35" t="s">
        <v>21</v>
      </c>
      <c r="C503" s="49">
        <v>44055</v>
      </c>
      <c r="D503" s="51" t="s">
        <v>601</v>
      </c>
      <c r="E503" s="3">
        <v>27353.58</v>
      </c>
      <c r="F503" s="9" t="s">
        <v>72</v>
      </c>
      <c r="G503" s="9" t="str">
        <f>IF(IFERROR(VLOOKUP(D503,Payments!G:G,1,FALSE),"UNPAID")=D503,"yes","no")</f>
        <v>yes</v>
      </c>
      <c r="H503" s="24">
        <v>247.98</v>
      </c>
    </row>
    <row r="504" spans="1:8">
      <c r="A504" s="8" t="s">
        <v>17</v>
      </c>
      <c r="B504" s="35" t="s">
        <v>21</v>
      </c>
      <c r="C504" s="49">
        <v>44055</v>
      </c>
      <c r="D504" s="51" t="s">
        <v>602</v>
      </c>
      <c r="E504" s="3">
        <f>49.25*125</f>
        <v>6156.25</v>
      </c>
      <c r="F504" s="9" t="s">
        <v>74</v>
      </c>
      <c r="G504" s="9" t="str">
        <f>IF(IFERROR(VLOOKUP(D504,Payments!G:G,1,FALSE),"UNPAID")=D504,"yes","no")</f>
        <v>yes</v>
      </c>
    </row>
    <row r="505" spans="1:8">
      <c r="A505" s="8" t="s">
        <v>17</v>
      </c>
      <c r="B505" s="35" t="s">
        <v>21</v>
      </c>
      <c r="C505" s="49">
        <v>44070</v>
      </c>
      <c r="D505" s="51" t="s">
        <v>603</v>
      </c>
      <c r="E505" s="3">
        <v>29029.02</v>
      </c>
      <c r="F505" s="9" t="s">
        <v>72</v>
      </c>
      <c r="G505" s="9" t="str">
        <f>IF(IFERROR(VLOOKUP(D505,Payments!G:G,1,FALSE),"UNPAID")=D505,"yes","no")</f>
        <v>yes</v>
      </c>
      <c r="H505" s="24">
        <v>504.73</v>
      </c>
    </row>
    <row r="506" spans="1:8">
      <c r="A506" s="8" t="s">
        <v>17</v>
      </c>
      <c r="B506" s="35" t="s">
        <v>22</v>
      </c>
      <c r="C506" s="49">
        <v>44070</v>
      </c>
      <c r="D506" s="51" t="s">
        <v>604</v>
      </c>
      <c r="E506" s="3">
        <v>7593.19</v>
      </c>
      <c r="F506" s="9" t="s">
        <v>72</v>
      </c>
      <c r="G506" s="9" t="str">
        <f>IF(IFERROR(VLOOKUP(D506,Payments!G:G,1,FALSE),"UNPAID")=D506,"yes","no")</f>
        <v>yes</v>
      </c>
    </row>
    <row r="507" spans="1:8">
      <c r="A507" s="8" t="s">
        <v>17</v>
      </c>
      <c r="B507" s="35" t="s">
        <v>22</v>
      </c>
      <c r="C507" s="49">
        <v>44070</v>
      </c>
      <c r="D507" s="51" t="s">
        <v>605</v>
      </c>
      <c r="E507" s="3">
        <f>244.25*125</f>
        <v>30531.25</v>
      </c>
      <c r="F507" s="9" t="s">
        <v>74</v>
      </c>
      <c r="G507" s="9" t="str">
        <f>IF(IFERROR(VLOOKUP(D507,Payments!G:G,1,FALSE),"UNPAID")=D507,"yes","no")</f>
        <v>yes</v>
      </c>
    </row>
    <row r="508" spans="1:8">
      <c r="A508" s="8" t="s">
        <v>17</v>
      </c>
      <c r="B508" s="35" t="s">
        <v>22</v>
      </c>
      <c r="C508" s="49">
        <v>44070</v>
      </c>
      <c r="D508" s="51" t="s">
        <v>606</v>
      </c>
      <c r="E508" s="3">
        <v>4692.8</v>
      </c>
      <c r="F508" s="9" t="s">
        <v>327</v>
      </c>
      <c r="G508" s="9" t="str">
        <f>IF(IFERROR(VLOOKUP(D508,Payments!G:G,1,FALSE),"UNPAID")=D508,"yes","no")</f>
        <v>no</v>
      </c>
    </row>
    <row r="509" spans="1:8">
      <c r="A509" s="8" t="s">
        <v>17</v>
      </c>
      <c r="B509" s="35" t="s">
        <v>23</v>
      </c>
      <c r="C509" s="49">
        <v>44070</v>
      </c>
      <c r="D509" s="51" t="s">
        <v>607</v>
      </c>
      <c r="E509" s="3">
        <v>6392.16</v>
      </c>
      <c r="F509" s="9" t="s">
        <v>72</v>
      </c>
      <c r="G509" s="9" t="str">
        <f>IF(IFERROR(VLOOKUP(D509,Payments!G:G,1,FALSE),"UNPAID")=D509,"yes","no")</f>
        <v>yes</v>
      </c>
    </row>
    <row r="510" spans="1:8">
      <c r="A510" s="8" t="s">
        <v>17</v>
      </c>
      <c r="B510" s="35" t="s">
        <v>23</v>
      </c>
      <c r="C510" s="49">
        <v>44070</v>
      </c>
      <c r="D510" s="51" t="s">
        <v>608</v>
      </c>
      <c r="E510" s="3">
        <v>4074.4</v>
      </c>
      <c r="F510" s="9" t="s">
        <v>327</v>
      </c>
      <c r="G510" s="9" t="str">
        <f>IF(IFERROR(VLOOKUP(D510,Payments!G:G,1,FALSE),"UNPAID")=D510,"yes","no")</f>
        <v>no</v>
      </c>
    </row>
    <row r="511" spans="1:8">
      <c r="A511" s="8" t="s">
        <v>17</v>
      </c>
      <c r="B511" s="35" t="s">
        <v>24</v>
      </c>
      <c r="C511" s="49">
        <v>44070</v>
      </c>
      <c r="D511" s="51" t="s">
        <v>609</v>
      </c>
      <c r="E511" s="3">
        <f>1*125</f>
        <v>125</v>
      </c>
      <c r="F511" s="9" t="s">
        <v>74</v>
      </c>
      <c r="G511" s="9" t="str">
        <f>IF(IFERROR(VLOOKUP(D511,Payments!G:G,1,FALSE),"UNPAID")=D511,"yes","no")</f>
        <v>yes</v>
      </c>
    </row>
    <row r="512" spans="1:8">
      <c r="A512" s="8" t="s">
        <v>17</v>
      </c>
      <c r="B512" s="35" t="s">
        <v>25</v>
      </c>
      <c r="C512" s="49">
        <v>44070</v>
      </c>
      <c r="D512" s="51" t="s">
        <v>610</v>
      </c>
      <c r="E512" s="3">
        <f>125*1</f>
        <v>125</v>
      </c>
      <c r="F512" s="9" t="s">
        <v>74</v>
      </c>
      <c r="G512" s="9" t="str">
        <f>IF(IFERROR(VLOOKUP(D512,Payments!G:G,1,FALSE),"UNPAID")=D512,"yes","no")</f>
        <v>yes</v>
      </c>
    </row>
    <row r="513" spans="2:9">
      <c r="B513" s="35" t="s">
        <v>31</v>
      </c>
      <c r="C513" s="49">
        <v>44070</v>
      </c>
      <c r="D513" s="51" t="s">
        <v>611</v>
      </c>
      <c r="E513" s="3">
        <v>3326.96</v>
      </c>
      <c r="F513" s="9" t="s">
        <v>72</v>
      </c>
      <c r="G513" s="9" t="str">
        <f>IF(IFERROR(VLOOKUP(D513,Payments!G:G,1,FALSE),"UNPAID")=D513,"yes","no")</f>
        <v>yes</v>
      </c>
      <c r="H513" s="24">
        <v>37.03</v>
      </c>
    </row>
    <row r="514" spans="2:9">
      <c r="B514" s="35" t="s">
        <v>31</v>
      </c>
      <c r="C514" s="49">
        <v>44070</v>
      </c>
      <c r="D514" s="51" t="s">
        <v>612</v>
      </c>
      <c r="E514" s="3">
        <f>1.5*110</f>
        <v>165</v>
      </c>
      <c r="F514" s="9" t="s">
        <v>74</v>
      </c>
      <c r="G514" s="9" t="str">
        <f>IF(IFERROR(VLOOKUP(D514,Payments!G:G,1,FALSE),"UNPAID")=D514,"yes","no")</f>
        <v>yes</v>
      </c>
    </row>
    <row r="515" spans="2:9">
      <c r="B515" s="35" t="s">
        <v>32</v>
      </c>
      <c r="C515" s="49">
        <v>44070</v>
      </c>
      <c r="D515" s="51" t="s">
        <v>613</v>
      </c>
      <c r="E515" s="3">
        <v>2724.28</v>
      </c>
      <c r="F515" s="9" t="s">
        <v>72</v>
      </c>
      <c r="G515" s="9" t="str">
        <f>IF(IFERROR(VLOOKUP(D515,Payments!G:G,1,FALSE),"UNPAID")=D515,"yes","no")</f>
        <v>yes</v>
      </c>
      <c r="H515" s="24">
        <v>37.03</v>
      </c>
    </row>
    <row r="516" spans="2:9">
      <c r="B516" s="34" t="s">
        <v>119</v>
      </c>
      <c r="C516" s="49">
        <v>44055</v>
      </c>
      <c r="D516" s="51" t="s">
        <v>614</v>
      </c>
      <c r="E516" s="3">
        <v>16695.54</v>
      </c>
      <c r="F516" s="9" t="s">
        <v>72</v>
      </c>
      <c r="G516" s="9" t="str">
        <f>IF(IFERROR(VLOOKUP(D516,Payments!G:G,1,FALSE),"UNPAID")=D516,"yes","no")</f>
        <v>yes</v>
      </c>
      <c r="H516" s="24">
        <v>4069.25</v>
      </c>
    </row>
    <row r="517" spans="2:9">
      <c r="B517" s="34" t="s">
        <v>119</v>
      </c>
      <c r="C517" s="49">
        <v>44070</v>
      </c>
      <c r="D517" s="51" t="s">
        <v>615</v>
      </c>
      <c r="E517" s="3">
        <v>15280</v>
      </c>
      <c r="F517" s="9" t="s">
        <v>72</v>
      </c>
      <c r="G517" s="9" t="str">
        <f>IF(IFERROR(VLOOKUP(D517,Payments!G:G,1,FALSE),"UNPAID")=D517,"yes","no")</f>
        <v>yes</v>
      </c>
      <c r="H517" s="24">
        <v>2448.5</v>
      </c>
    </row>
    <row r="518" spans="2:9">
      <c r="B518" s="35" t="s">
        <v>37</v>
      </c>
      <c r="C518" s="49">
        <v>44070</v>
      </c>
      <c r="D518" s="51" t="s">
        <v>616</v>
      </c>
      <c r="E518" s="3">
        <v>50807.49</v>
      </c>
      <c r="F518" s="9" t="s">
        <v>72</v>
      </c>
      <c r="G518" s="9" t="str">
        <f>IF(IFERROR(VLOOKUP(D518,Payments!G:G,1,FALSE),"UNPAID")=D518,"yes","no")</f>
        <v>yes</v>
      </c>
      <c r="H518" s="24">
        <v>6616.17</v>
      </c>
    </row>
    <row r="519" spans="2:9">
      <c r="B519" s="35" t="s">
        <v>37</v>
      </c>
      <c r="C519" s="49">
        <v>44070</v>
      </c>
      <c r="D519" s="51" t="s">
        <v>617</v>
      </c>
      <c r="E519" s="3">
        <f>71.75*150</f>
        <v>10762.5</v>
      </c>
      <c r="F519" s="9" t="s">
        <v>74</v>
      </c>
      <c r="G519" s="9" t="str">
        <f>IF(IFERROR(VLOOKUP(D519,Payments!G:G,1,FALSE),"UNPAID")=D519,"yes","no")</f>
        <v>yes</v>
      </c>
    </row>
    <row r="520" spans="2:9">
      <c r="B520" s="35" t="s">
        <v>39</v>
      </c>
      <c r="C520" s="49">
        <v>44070</v>
      </c>
      <c r="D520" s="51" t="s">
        <v>618</v>
      </c>
      <c r="E520" s="3">
        <v>12035.82</v>
      </c>
      <c r="F520" s="9" t="s">
        <v>72</v>
      </c>
      <c r="G520" s="9" t="str">
        <f>IF(IFERROR(VLOOKUP(D520,Payments!G:G,1,FALSE),"UNPAID")=D520,"yes","no")</f>
        <v>yes</v>
      </c>
      <c r="H520" s="24">
        <v>446</v>
      </c>
      <c r="I520" s="25" t="s">
        <v>619</v>
      </c>
    </row>
    <row r="521" spans="2:9">
      <c r="B521" s="35" t="s">
        <v>39</v>
      </c>
      <c r="C521" s="49">
        <v>44070</v>
      </c>
      <c r="D521" s="51" t="s">
        <v>620</v>
      </c>
      <c r="E521" s="3">
        <v>500</v>
      </c>
      <c r="F521" s="9" t="s">
        <v>74</v>
      </c>
      <c r="G521" s="9" t="str">
        <f>IF(IFERROR(VLOOKUP(D521,Payments!G:G,1,FALSE),"UNPAID")=D521,"yes","no")</f>
        <v>yes</v>
      </c>
    </row>
    <row r="522" spans="2:9">
      <c r="B522" s="35" t="s">
        <v>40</v>
      </c>
      <c r="C522" s="49">
        <v>44070</v>
      </c>
      <c r="D522" s="51" t="s">
        <v>621</v>
      </c>
      <c r="E522" s="3">
        <v>1862</v>
      </c>
      <c r="F522" s="9" t="s">
        <v>72</v>
      </c>
      <c r="G522" s="9" t="str">
        <f>IF(IFERROR(VLOOKUP(D522,Payments!G:G,1,FALSE),"UNPAID")=D522,"yes","no")</f>
        <v>yes</v>
      </c>
      <c r="H522" s="24">
        <v>103.16</v>
      </c>
    </row>
    <row r="523" spans="2:9">
      <c r="B523" s="35" t="s">
        <v>41</v>
      </c>
      <c r="C523" s="49">
        <v>44070</v>
      </c>
      <c r="D523" s="51" t="s">
        <v>622</v>
      </c>
      <c r="E523" s="3">
        <v>2587.56</v>
      </c>
      <c r="F523" s="9" t="s">
        <v>74</v>
      </c>
      <c r="G523" s="9" t="str">
        <f>IF(IFERROR(VLOOKUP(D523,Payments!G:G,1,FALSE),"UNPAID")=D523,"yes","no")</f>
        <v>yes</v>
      </c>
      <c r="H523" s="24">
        <v>162</v>
      </c>
      <c r="I523" s="25" t="s">
        <v>619</v>
      </c>
    </row>
    <row r="524" spans="2:9">
      <c r="B524" s="35" t="s">
        <v>41</v>
      </c>
      <c r="C524" s="49">
        <v>44070</v>
      </c>
      <c r="D524" s="51" t="s">
        <v>623</v>
      </c>
      <c r="E524" s="3">
        <v>500</v>
      </c>
      <c r="F524" s="9" t="s">
        <v>74</v>
      </c>
      <c r="G524" s="9" t="str">
        <f>IF(IFERROR(VLOOKUP(D524,Payments!G:G,1,FALSE),"UNPAID")=D524,"yes","no")</f>
        <v>yes</v>
      </c>
    </row>
    <row r="525" spans="2:9">
      <c r="B525" s="35" t="s">
        <v>131</v>
      </c>
      <c r="C525" s="49">
        <v>44070</v>
      </c>
      <c r="D525" s="51" t="s">
        <v>624</v>
      </c>
      <c r="E525" s="3">
        <v>24382.28</v>
      </c>
      <c r="F525" s="9" t="s">
        <v>72</v>
      </c>
      <c r="G525" s="9" t="str">
        <f>IF(IFERROR(VLOOKUP(D525,Payments!G:G,1,FALSE),"UNPAID")=D525,"yes","no")</f>
        <v>yes</v>
      </c>
      <c r="H525" s="24">
        <v>979.46</v>
      </c>
      <c r="I525" s="25" t="s">
        <v>619</v>
      </c>
    </row>
    <row r="526" spans="2:9">
      <c r="B526" s="35" t="s">
        <v>131</v>
      </c>
      <c r="C526" s="49">
        <v>44070</v>
      </c>
      <c r="D526" s="51" t="s">
        <v>625</v>
      </c>
      <c r="E526" s="3">
        <v>20833.330000000002</v>
      </c>
      <c r="F526" s="9" t="s">
        <v>74</v>
      </c>
      <c r="G526" s="9" t="str">
        <f>IF(IFERROR(VLOOKUP(D526,Payments!G:G,1,FALSE),"UNPAID")=D526,"yes","no")</f>
        <v>no</v>
      </c>
    </row>
    <row r="527" spans="2:9">
      <c r="B527" s="34" t="s">
        <v>52</v>
      </c>
      <c r="C527" s="49">
        <v>44070</v>
      </c>
      <c r="D527" s="51" t="s">
        <v>626</v>
      </c>
      <c r="E527" s="3">
        <v>1070.45</v>
      </c>
      <c r="F527" s="9" t="s">
        <v>204</v>
      </c>
      <c r="G527" s="9" t="str">
        <f>IF(IFERROR(VLOOKUP(D527,Payments!G:G,1,FALSE),"UNPAID")=D527,"yes","no")</f>
        <v>yes</v>
      </c>
    </row>
    <row r="528" spans="2:9">
      <c r="B528" s="35" t="s">
        <v>53</v>
      </c>
      <c r="C528" s="49">
        <v>44070</v>
      </c>
      <c r="D528" s="51" t="s">
        <v>627</v>
      </c>
      <c r="E528" s="3">
        <v>1645</v>
      </c>
      <c r="F528" s="9" t="s">
        <v>204</v>
      </c>
      <c r="G528" s="9" t="str">
        <f>IF(IFERROR(VLOOKUP(D528,Payments!G:G,1,FALSE),"UNPAID")=D528,"yes","no")</f>
        <v>yes</v>
      </c>
    </row>
    <row r="529" spans="1:8">
      <c r="B529" s="35" t="s">
        <v>54</v>
      </c>
      <c r="C529" s="49">
        <v>44070</v>
      </c>
      <c r="D529" s="51" t="s">
        <v>628</v>
      </c>
      <c r="E529" s="3">
        <v>377</v>
      </c>
      <c r="F529" s="9" t="s">
        <v>204</v>
      </c>
      <c r="G529" s="9" t="str">
        <f>IF(IFERROR(VLOOKUP(D529,Payments!G:G,1,FALSE),"UNPAID")=D529,"yes","no")</f>
        <v>yes</v>
      </c>
    </row>
    <row r="530" spans="1:8">
      <c r="B530" s="35" t="s">
        <v>56</v>
      </c>
      <c r="C530" s="49">
        <v>44070</v>
      </c>
      <c r="D530" s="51" t="s">
        <v>629</v>
      </c>
      <c r="E530" s="3">
        <v>60.05</v>
      </c>
      <c r="F530" s="9" t="s">
        <v>204</v>
      </c>
      <c r="G530" s="9" t="str">
        <f>IF(IFERROR(VLOOKUP(D530,Payments!G:G,1,FALSE),"UNPAID")=D530,"yes","no")</f>
        <v>yes</v>
      </c>
    </row>
    <row r="531" spans="1:8">
      <c r="B531" s="34" t="s">
        <v>140</v>
      </c>
      <c r="C531" s="49">
        <v>44070</v>
      </c>
      <c r="D531" s="51" t="s">
        <v>630</v>
      </c>
      <c r="E531" s="3">
        <v>70</v>
      </c>
      <c r="F531" s="9" t="s">
        <v>204</v>
      </c>
      <c r="G531" s="9" t="str">
        <f>IF(IFERROR(VLOOKUP(D531,Payments!G:G,1,FALSE),"UNPAID")=D531,"yes","no")</f>
        <v>yes</v>
      </c>
    </row>
    <row r="532" spans="1:8">
      <c r="B532" s="35" t="s">
        <v>631</v>
      </c>
      <c r="C532" s="49">
        <v>44070</v>
      </c>
      <c r="D532" s="51" t="s">
        <v>632</v>
      </c>
      <c r="E532" s="3">
        <v>92.28</v>
      </c>
      <c r="F532" s="9" t="s">
        <v>204</v>
      </c>
      <c r="G532" s="9" t="str">
        <f>IF(IFERROR(VLOOKUP(D532,Payments!G:G,1,FALSE),"UNPAID")=D532,"yes","no")</f>
        <v>yes</v>
      </c>
    </row>
    <row r="533" spans="1:8">
      <c r="B533" s="34" t="s">
        <v>59</v>
      </c>
      <c r="C533" s="49">
        <v>44070</v>
      </c>
      <c r="D533" s="51" t="s">
        <v>633</v>
      </c>
      <c r="E533" s="3">
        <v>930.45</v>
      </c>
      <c r="F533" s="9" t="s">
        <v>204</v>
      </c>
      <c r="G533" s="9" t="str">
        <f>IF(IFERROR(VLOOKUP(D533,Payments!G:G,1,FALSE),"UNPAID")=D533,"yes","no")</f>
        <v>yes</v>
      </c>
    </row>
    <row r="534" spans="1:8">
      <c r="B534" s="35" t="s">
        <v>60</v>
      </c>
      <c r="C534" s="49">
        <v>44070</v>
      </c>
      <c r="D534" s="51" t="s">
        <v>634</v>
      </c>
      <c r="E534" s="3">
        <v>1284</v>
      </c>
      <c r="F534" s="9" t="s">
        <v>204</v>
      </c>
      <c r="G534" s="9" t="str">
        <f>IF(IFERROR(VLOOKUP(D534,Payments!G:G,1,FALSE),"UNPAID")=D534,"yes","no")</f>
        <v>yes</v>
      </c>
    </row>
    <row r="535" spans="1:8">
      <c r="B535" s="35" t="s">
        <v>63</v>
      </c>
      <c r="C535" s="49">
        <v>44070</v>
      </c>
      <c r="D535" s="51" t="s">
        <v>635</v>
      </c>
      <c r="E535" s="3">
        <v>700</v>
      </c>
      <c r="F535" s="9" t="s">
        <v>204</v>
      </c>
      <c r="G535" s="9" t="str">
        <f>IF(IFERROR(VLOOKUP(D535,Payments!G:G,1,FALSE),"UNPAID")=D535,"yes","no")</f>
        <v>yes</v>
      </c>
    </row>
    <row r="536" spans="1:8">
      <c r="A536" s="8" t="s">
        <v>70</v>
      </c>
      <c r="B536" s="34" t="s">
        <v>6</v>
      </c>
      <c r="C536" s="49">
        <v>44086</v>
      </c>
      <c r="D536" s="11" t="s">
        <v>636</v>
      </c>
      <c r="E536" s="3">
        <v>32053.87</v>
      </c>
      <c r="F536" s="9" t="s">
        <v>72</v>
      </c>
      <c r="G536" s="9" t="str">
        <f>IF(IFERROR(VLOOKUP(D536,Payments!G:G,1,FALSE),"UNPAID")=D536,"yes","no")</f>
        <v>yes</v>
      </c>
      <c r="H536" s="24">
        <v>2765.25</v>
      </c>
    </row>
    <row r="537" spans="1:8">
      <c r="A537" s="8" t="s">
        <v>70</v>
      </c>
      <c r="B537" s="34" t="s">
        <v>6</v>
      </c>
      <c r="C537" s="49">
        <v>44086</v>
      </c>
      <c r="D537" s="11" t="s">
        <v>637</v>
      </c>
      <c r="E537" s="3">
        <v>30.03</v>
      </c>
      <c r="F537" s="9" t="s">
        <v>235</v>
      </c>
      <c r="G537" s="9" t="str">
        <f>IF(IFERROR(VLOOKUP(D537,Payments!G:G,1,FALSE),"UNPAID")=D537,"yes","no")</f>
        <v>yes</v>
      </c>
    </row>
    <row r="538" spans="1:8">
      <c r="A538" s="8" t="s">
        <v>70</v>
      </c>
      <c r="B538" s="34" t="s">
        <v>6</v>
      </c>
      <c r="C538" s="49">
        <v>44086</v>
      </c>
      <c r="D538" s="11" t="s">
        <v>638</v>
      </c>
      <c r="E538" s="3">
        <f>136.75*110</f>
        <v>15042.5</v>
      </c>
      <c r="F538" s="9" t="s">
        <v>74</v>
      </c>
      <c r="G538" s="9" t="str">
        <f>IF(IFERROR(VLOOKUP(D538,Payments!G:G,1,FALSE),"UNPAID")=D538,"yes","no")</f>
        <v>yes</v>
      </c>
    </row>
    <row r="539" spans="1:8">
      <c r="A539" s="8" t="s">
        <v>70</v>
      </c>
      <c r="B539" s="34" t="s">
        <v>6</v>
      </c>
      <c r="C539" s="49">
        <v>44101</v>
      </c>
      <c r="D539" s="11" t="s">
        <v>639</v>
      </c>
      <c r="E539" s="3">
        <v>28811.89</v>
      </c>
      <c r="F539" s="9" t="s">
        <v>72</v>
      </c>
      <c r="G539" s="9" t="str">
        <f>IF(IFERROR(VLOOKUP(D539,Payments!G:G,1,FALSE),"UNPAID")=D539,"yes","no")</f>
        <v>no</v>
      </c>
      <c r="H539" s="24">
        <v>1958.04</v>
      </c>
    </row>
    <row r="540" spans="1:8">
      <c r="A540" s="8" t="s">
        <v>70</v>
      </c>
      <c r="B540" s="34" t="s">
        <v>7</v>
      </c>
      <c r="C540" s="49">
        <v>44086</v>
      </c>
      <c r="D540" s="11" t="s">
        <v>640</v>
      </c>
      <c r="E540" s="3">
        <v>24214.48</v>
      </c>
      <c r="F540" s="9" t="s">
        <v>72</v>
      </c>
      <c r="G540" s="9" t="str">
        <f>IF(IFERROR(VLOOKUP(D540,Payments!G:G,1,FALSE),"UNPAID")=D540,"yes","no")</f>
        <v>yes</v>
      </c>
      <c r="H540" s="24">
        <v>1178.27</v>
      </c>
    </row>
    <row r="541" spans="1:8">
      <c r="A541" s="8" t="s">
        <v>70</v>
      </c>
      <c r="B541" s="34" t="s">
        <v>7</v>
      </c>
      <c r="C541" s="49">
        <v>44086</v>
      </c>
      <c r="D541" s="11" t="s">
        <v>641</v>
      </c>
      <c r="E541" s="3">
        <f>121.25*110</f>
        <v>13337.5</v>
      </c>
      <c r="F541" s="9" t="s">
        <v>74</v>
      </c>
      <c r="G541" s="9" t="str">
        <f>IF(IFERROR(VLOOKUP(D541,Payments!G:G,1,FALSE),"UNPAID")=D541,"yes","no")</f>
        <v>yes</v>
      </c>
    </row>
    <row r="542" spans="1:8">
      <c r="A542" s="8" t="s">
        <v>70</v>
      </c>
      <c r="B542" s="34" t="s">
        <v>7</v>
      </c>
      <c r="C542" s="49">
        <v>44101</v>
      </c>
      <c r="D542" s="11" t="s">
        <v>642</v>
      </c>
      <c r="E542" s="3">
        <v>19880.52</v>
      </c>
      <c r="F542" s="9" t="s">
        <v>72</v>
      </c>
      <c r="G542" s="9" t="str">
        <f>IF(IFERROR(VLOOKUP(D542,Payments!G:G,1,FALSE),"UNPAID")=D542,"yes","no")</f>
        <v>yes</v>
      </c>
      <c r="H542" s="24">
        <v>769.61</v>
      </c>
    </row>
    <row r="543" spans="1:8">
      <c r="A543" s="8" t="s">
        <v>70</v>
      </c>
      <c r="B543" s="35" t="s">
        <v>8</v>
      </c>
      <c r="C543" s="49">
        <v>44101</v>
      </c>
      <c r="D543" s="12" t="s">
        <v>643</v>
      </c>
      <c r="E543" s="3">
        <v>9571.6299999999992</v>
      </c>
      <c r="F543" s="9" t="s">
        <v>72</v>
      </c>
      <c r="G543" s="9" t="str">
        <f>IF(IFERROR(VLOOKUP(D543,Payments!G:G,1,FALSE),"UNPAID")=D543,"yes","no")</f>
        <v>yes</v>
      </c>
      <c r="H543" s="24">
        <v>744.96</v>
      </c>
    </row>
    <row r="544" spans="1:8">
      <c r="A544" s="8" t="s">
        <v>70</v>
      </c>
      <c r="B544" s="35" t="s">
        <v>8</v>
      </c>
      <c r="C544" s="49">
        <v>44101</v>
      </c>
      <c r="D544" s="12" t="s">
        <v>644</v>
      </c>
      <c r="E544" s="3">
        <f>27.75*110</f>
        <v>3052.5</v>
      </c>
      <c r="F544" s="9" t="s">
        <v>74</v>
      </c>
      <c r="G544" s="9" t="str">
        <f>IF(IFERROR(VLOOKUP(D544,Payments!G:G,1,FALSE),"UNPAID")=D544,"yes","no")</f>
        <v>yes</v>
      </c>
    </row>
    <row r="545" spans="1:9">
      <c r="A545" s="8" t="s">
        <v>70</v>
      </c>
      <c r="B545" s="35" t="s">
        <v>9</v>
      </c>
      <c r="C545" s="49">
        <v>44101</v>
      </c>
      <c r="D545" s="12" t="s">
        <v>645</v>
      </c>
      <c r="E545" s="3">
        <v>3441.28</v>
      </c>
      <c r="F545" s="9" t="s">
        <v>72</v>
      </c>
      <c r="G545" s="9" t="str">
        <f>IF(IFERROR(VLOOKUP(D545,Payments!G:G,1,FALSE),"UNPAID")=D545,"yes","no")</f>
        <v>yes</v>
      </c>
      <c r="H545" s="24">
        <v>234.59</v>
      </c>
    </row>
    <row r="546" spans="1:9">
      <c r="A546" s="8" t="s">
        <v>70</v>
      </c>
      <c r="B546" s="35" t="s">
        <v>9</v>
      </c>
      <c r="C546" s="49">
        <v>44101</v>
      </c>
      <c r="D546" s="12" t="s">
        <v>646</v>
      </c>
      <c r="E546" s="3">
        <f>2.75*110</f>
        <v>302.5</v>
      </c>
      <c r="F546" s="9" t="s">
        <v>74</v>
      </c>
      <c r="G546" s="9" t="str">
        <f>IF(IFERROR(VLOOKUP(D546,Payments!G:G,1,FALSE),"UNPAID")=D546,"yes","no")</f>
        <v>yes</v>
      </c>
    </row>
    <row r="547" spans="1:9">
      <c r="A547" s="8" t="s">
        <v>70</v>
      </c>
      <c r="B547" s="34" t="s">
        <v>10</v>
      </c>
      <c r="C547" s="49">
        <v>44101</v>
      </c>
      <c r="D547" s="50" t="s">
        <v>647</v>
      </c>
      <c r="E547" s="3">
        <v>712.76</v>
      </c>
      <c r="F547" s="9" t="s">
        <v>72</v>
      </c>
      <c r="G547" s="9" t="str">
        <f>IF(IFERROR(VLOOKUP(D547,Payments!G:G,1,FALSE),"UNPAID")=D547,"yes","no")</f>
        <v>yes</v>
      </c>
    </row>
    <row r="548" spans="1:9">
      <c r="A548" s="8" t="s">
        <v>70</v>
      </c>
      <c r="B548" s="34" t="s">
        <v>10</v>
      </c>
      <c r="C548" s="49">
        <v>44101</v>
      </c>
      <c r="D548" s="50" t="s">
        <v>648</v>
      </c>
      <c r="E548" s="3">
        <f>10.25*110</f>
        <v>1127.5</v>
      </c>
      <c r="F548" s="9" t="s">
        <v>74</v>
      </c>
      <c r="G548" s="9" t="str">
        <f>IF(IFERROR(VLOOKUP(D548,Payments!G:G,1,FALSE),"UNPAID")=D548,"yes","no")</f>
        <v>yes</v>
      </c>
    </row>
    <row r="549" spans="1:9">
      <c r="A549" s="8" t="s">
        <v>70</v>
      </c>
      <c r="B549" s="34" t="s">
        <v>11</v>
      </c>
      <c r="C549" s="49">
        <v>44101</v>
      </c>
      <c r="D549" s="51" t="s">
        <v>649</v>
      </c>
      <c r="E549" s="3">
        <v>6480.66</v>
      </c>
      <c r="F549" s="9" t="s">
        <v>72</v>
      </c>
      <c r="G549" s="9" t="str">
        <f>IF(IFERROR(VLOOKUP(D549,Payments!G:G,1,FALSE),"UNPAID")=D549,"yes","no")</f>
        <v>yes</v>
      </c>
      <c r="H549" s="24">
        <v>148.9</v>
      </c>
    </row>
    <row r="550" spans="1:9">
      <c r="A550" s="8" t="s">
        <v>70</v>
      </c>
      <c r="B550" s="34" t="s">
        <v>11</v>
      </c>
      <c r="C550" s="49">
        <v>44101</v>
      </c>
      <c r="D550" s="51" t="s">
        <v>650</v>
      </c>
      <c r="E550" s="3">
        <f>9.25*110</f>
        <v>1017.5</v>
      </c>
      <c r="F550" s="9" t="s">
        <v>74</v>
      </c>
      <c r="G550" s="9" t="str">
        <f>IF(IFERROR(VLOOKUP(D550,Payments!G:G,1,FALSE),"UNPAID")=D550,"yes","no")</f>
        <v>yes</v>
      </c>
    </row>
    <row r="551" spans="1:9">
      <c r="A551" s="8" t="s">
        <v>70</v>
      </c>
      <c r="B551" s="35" t="s">
        <v>12</v>
      </c>
      <c r="C551" s="49">
        <v>44101</v>
      </c>
      <c r="D551" s="51" t="s">
        <v>651</v>
      </c>
      <c r="E551" s="3">
        <v>1175.72</v>
      </c>
      <c r="F551" s="9" t="s">
        <v>72</v>
      </c>
      <c r="G551" s="9" t="str">
        <f>IF(IFERROR(VLOOKUP(D551,Payments!G:G,1,FALSE),"UNPAID")=D551,"yes","no")</f>
        <v>yes</v>
      </c>
    </row>
    <row r="552" spans="1:9">
      <c r="A552" s="8" t="s">
        <v>70</v>
      </c>
      <c r="B552" s="35" t="s">
        <v>12</v>
      </c>
      <c r="C552" s="49">
        <v>44101</v>
      </c>
      <c r="D552" s="51" t="s">
        <v>652</v>
      </c>
      <c r="E552" s="3">
        <f>9*110</f>
        <v>990</v>
      </c>
      <c r="F552" s="9" t="s">
        <v>74</v>
      </c>
      <c r="G552" s="9" t="str">
        <f>IF(IFERROR(VLOOKUP(D552,Payments!G:G,1,FALSE),"UNPAID")=D552,"yes","no")</f>
        <v>yes</v>
      </c>
    </row>
    <row r="553" spans="1:9">
      <c r="A553" s="8" t="s">
        <v>70</v>
      </c>
      <c r="B553" s="35" t="s">
        <v>13</v>
      </c>
      <c r="C553" s="49">
        <v>44101</v>
      </c>
      <c r="D553" s="51" t="s">
        <v>653</v>
      </c>
      <c r="E553" s="3">
        <v>100</v>
      </c>
      <c r="F553" s="9" t="s">
        <v>74</v>
      </c>
      <c r="G553" s="9" t="str">
        <f>IF(IFERROR(VLOOKUP(D553,Payments!G:G,1,FALSE),"UNPAID")=D553,"yes","no")</f>
        <v>yes</v>
      </c>
      <c r="H553" s="24">
        <v>50</v>
      </c>
    </row>
    <row r="554" spans="1:9">
      <c r="A554" s="8" t="s">
        <v>70</v>
      </c>
      <c r="B554" s="35" t="s">
        <v>14</v>
      </c>
      <c r="C554" s="49">
        <v>44101</v>
      </c>
      <c r="D554" s="51" t="s">
        <v>654</v>
      </c>
      <c r="E554" s="3">
        <v>1273.01</v>
      </c>
      <c r="F554" s="9" t="s">
        <v>72</v>
      </c>
      <c r="G554" s="9" t="str">
        <f>IF(IFERROR(VLOOKUP(D554,Payments!G:G,1,FALSE),"UNPAID")=D554,"yes","no")</f>
        <v>yes</v>
      </c>
    </row>
    <row r="555" spans="1:9">
      <c r="A555" s="8" t="s">
        <v>70</v>
      </c>
      <c r="B555" s="35" t="s">
        <v>14</v>
      </c>
      <c r="C555" s="49">
        <v>44101</v>
      </c>
      <c r="D555" s="51" t="s">
        <v>655</v>
      </c>
      <c r="E555" s="3">
        <f>3*110</f>
        <v>330</v>
      </c>
      <c r="F555" s="9" t="s">
        <v>74</v>
      </c>
      <c r="G555" s="9" t="str">
        <f>IF(IFERROR(VLOOKUP(D555,Payments!G:G,1,FALSE),"UNPAID")=D555,"yes","no")</f>
        <v>no</v>
      </c>
    </row>
    <row r="556" spans="1:9">
      <c r="A556" s="8" t="s">
        <v>70</v>
      </c>
      <c r="B556" s="35" t="s">
        <v>14</v>
      </c>
      <c r="C556" s="49">
        <v>44101</v>
      </c>
      <c r="D556" s="51" t="s">
        <v>656</v>
      </c>
      <c r="E556" s="3">
        <v>27.77</v>
      </c>
      <c r="F556" s="9" t="s">
        <v>235</v>
      </c>
      <c r="G556" s="9" t="str">
        <f>IF(IFERROR(VLOOKUP(D556,Payments!G:G,1,FALSE),"UNPAID")=D556,"yes","no")</f>
        <v>no</v>
      </c>
    </row>
    <row r="557" spans="1:9">
      <c r="A557" s="8" t="s">
        <v>70</v>
      </c>
      <c r="B557" s="35" t="s">
        <v>15</v>
      </c>
      <c r="C557" s="49">
        <v>44101</v>
      </c>
      <c r="D557" s="51" t="s">
        <v>657</v>
      </c>
      <c r="E557" s="3">
        <f>5*110</f>
        <v>550</v>
      </c>
      <c r="F557" s="9" t="s">
        <v>74</v>
      </c>
      <c r="G557" s="9" t="str">
        <f>IF(IFERROR(VLOOKUP(D557,Payments!G:G,1,FALSE),"UNPAID")=D557,"yes","no")</f>
        <v>no</v>
      </c>
    </row>
    <row r="558" spans="1:9">
      <c r="A558" s="8" t="s">
        <v>70</v>
      </c>
      <c r="B558" s="34" t="s">
        <v>16</v>
      </c>
      <c r="C558" s="49">
        <v>44101</v>
      </c>
      <c r="D558" s="51" t="s">
        <v>658</v>
      </c>
      <c r="E558" s="3">
        <v>804.42</v>
      </c>
      <c r="F558" s="9" t="s">
        <v>72</v>
      </c>
      <c r="G558" s="9" t="str">
        <f>IF(IFERROR(VLOOKUP(D558,Payments!G:G,1,FALSE),"UNPAID")=D558,"yes","no")</f>
        <v>yes</v>
      </c>
    </row>
    <row r="559" spans="1:9">
      <c r="A559" s="8" t="s">
        <v>70</v>
      </c>
      <c r="B559" s="34" t="s">
        <v>16</v>
      </c>
      <c r="C559" s="49">
        <v>44101</v>
      </c>
      <c r="D559" s="51" t="s">
        <v>659</v>
      </c>
      <c r="E559" s="3">
        <v>1250</v>
      </c>
      <c r="F559" s="9" t="s">
        <v>74</v>
      </c>
      <c r="G559" s="9" t="str">
        <f>IF(IFERROR(VLOOKUP(D559,Payments!G:G,1,FALSE),"UNPAID")=D559,"yes","no")</f>
        <v>yes</v>
      </c>
      <c r="I559" s="25" t="s">
        <v>660</v>
      </c>
    </row>
    <row r="560" spans="1:9">
      <c r="A560" s="8" t="s">
        <v>17</v>
      </c>
      <c r="B560" s="34" t="s">
        <v>18</v>
      </c>
      <c r="C560" s="49">
        <v>44086</v>
      </c>
      <c r="D560" s="51" t="s">
        <v>661</v>
      </c>
      <c r="E560" s="3">
        <v>53070.02</v>
      </c>
      <c r="F560" s="9" t="s">
        <v>72</v>
      </c>
      <c r="G560" s="9" t="str">
        <f>IF(IFERROR(VLOOKUP(D560,Payments!G:G,1,FALSE),"UNPAID")=D560,"yes","no")</f>
        <v>yes</v>
      </c>
      <c r="H560" s="24">
        <v>4183.3500000000004</v>
      </c>
    </row>
    <row r="561" spans="1:8">
      <c r="A561" s="8" t="s">
        <v>17</v>
      </c>
      <c r="B561" s="34" t="s">
        <v>18</v>
      </c>
      <c r="C561" s="49">
        <v>44086</v>
      </c>
      <c r="D561" s="51" t="s">
        <v>662</v>
      </c>
      <c r="E561" s="3">
        <f>232.75*125</f>
        <v>29093.75</v>
      </c>
      <c r="F561" s="9" t="s">
        <v>74</v>
      </c>
      <c r="G561" s="9" t="str">
        <f>IF(IFERROR(VLOOKUP(D561,Payments!G:G,1,FALSE),"UNPAID")=D561,"yes","no")</f>
        <v>yes</v>
      </c>
    </row>
    <row r="562" spans="1:8">
      <c r="A562" s="8" t="s">
        <v>17</v>
      </c>
      <c r="B562" s="34" t="s">
        <v>18</v>
      </c>
      <c r="C562" s="49">
        <v>44101</v>
      </c>
      <c r="D562" s="51" t="s">
        <v>663</v>
      </c>
      <c r="E562" s="3">
        <v>50237.11</v>
      </c>
      <c r="F562" s="9" t="s">
        <v>72</v>
      </c>
      <c r="G562" s="9" t="str">
        <f>IF(IFERROR(VLOOKUP(D562,Payments!G:G,1,FALSE),"UNPAID")=D562,"yes","no")</f>
        <v>yes</v>
      </c>
      <c r="H562" s="24">
        <v>3337.97</v>
      </c>
    </row>
    <row r="563" spans="1:8">
      <c r="A563" s="8" t="s">
        <v>17</v>
      </c>
      <c r="B563" s="35" t="s">
        <v>19</v>
      </c>
      <c r="C563" s="49">
        <v>44086</v>
      </c>
      <c r="D563" s="51" t="s">
        <v>664</v>
      </c>
      <c r="E563" s="3">
        <v>50493.25</v>
      </c>
      <c r="F563" s="9" t="s">
        <v>72</v>
      </c>
      <c r="G563" s="9" t="str">
        <f>IF(IFERROR(VLOOKUP(D563,Payments!G:G,1,FALSE),"UNPAID")=D563,"yes","no")</f>
        <v>yes</v>
      </c>
      <c r="H563" s="24">
        <v>1966.52</v>
      </c>
    </row>
    <row r="564" spans="1:8">
      <c r="A564" s="8" t="s">
        <v>17</v>
      </c>
      <c r="B564" s="35" t="s">
        <v>19</v>
      </c>
      <c r="C564" s="49">
        <v>44086</v>
      </c>
      <c r="D564" s="51" t="s">
        <v>665</v>
      </c>
      <c r="E564" s="3">
        <f>93.75*125</f>
        <v>11718.75</v>
      </c>
      <c r="F564" s="9" t="s">
        <v>74</v>
      </c>
      <c r="G564" s="9" t="str">
        <f>IF(IFERROR(VLOOKUP(D564,Payments!G:G,1,FALSE),"UNPAID")=D564,"yes","no")</f>
        <v>yes</v>
      </c>
    </row>
    <row r="565" spans="1:8">
      <c r="A565" s="8" t="s">
        <v>17</v>
      </c>
      <c r="B565" s="35" t="s">
        <v>19</v>
      </c>
      <c r="C565" s="49">
        <v>44101</v>
      </c>
      <c r="D565" s="51" t="s">
        <v>666</v>
      </c>
      <c r="E565" s="3">
        <v>50050.6</v>
      </c>
      <c r="F565" s="9" t="s">
        <v>72</v>
      </c>
      <c r="G565" s="9" t="str">
        <f>IF(IFERROR(VLOOKUP(D565,Payments!G:G,1,FALSE),"UNPAID")=D565,"yes","no")</f>
        <v>yes</v>
      </c>
      <c r="H565" s="24">
        <v>4006.29</v>
      </c>
    </row>
    <row r="566" spans="1:8">
      <c r="A566" s="8" t="s">
        <v>17</v>
      </c>
      <c r="B566" s="35" t="s">
        <v>20</v>
      </c>
      <c r="C566" s="49">
        <v>44101</v>
      </c>
      <c r="D566" s="51" t="s">
        <v>667</v>
      </c>
      <c r="E566" s="3">
        <f>10.25*125</f>
        <v>1281.25</v>
      </c>
      <c r="F566" s="9" t="s">
        <v>74</v>
      </c>
      <c r="G566" s="9" t="str">
        <f>IF(IFERROR(VLOOKUP(D566,Payments!G:G,1,FALSE),"UNPAID")=D566,"yes","no")</f>
        <v>yes</v>
      </c>
    </row>
    <row r="567" spans="1:8">
      <c r="A567" s="8" t="s">
        <v>17</v>
      </c>
      <c r="B567" s="35" t="s">
        <v>21</v>
      </c>
      <c r="C567" s="49">
        <v>44086</v>
      </c>
      <c r="D567" s="51" t="s">
        <v>668</v>
      </c>
      <c r="E567" s="3">
        <v>25508.6</v>
      </c>
      <c r="F567" s="9" t="s">
        <v>72</v>
      </c>
      <c r="G567" s="9" t="str">
        <f>IF(IFERROR(VLOOKUP(D567,Payments!G:G,1,FALSE),"UNPAID")=D567,"yes","no")</f>
        <v>yes</v>
      </c>
      <c r="H567" s="24">
        <v>1082.6199999999999</v>
      </c>
    </row>
    <row r="568" spans="1:8">
      <c r="A568" s="8" t="s">
        <v>17</v>
      </c>
      <c r="B568" s="35" t="s">
        <v>21</v>
      </c>
      <c r="C568" s="49">
        <v>44086</v>
      </c>
      <c r="D568" s="51" t="s">
        <v>669</v>
      </c>
      <c r="E568" s="3">
        <f>47.5*125</f>
        <v>5937.5</v>
      </c>
      <c r="F568" s="9" t="s">
        <v>74</v>
      </c>
      <c r="G568" s="9" t="str">
        <f>IF(IFERROR(VLOOKUP(D568,Payments!G:G,1,FALSE),"UNPAID")=D568,"yes","no")</f>
        <v>yes</v>
      </c>
    </row>
    <row r="569" spans="1:8">
      <c r="A569" s="8" t="s">
        <v>17</v>
      </c>
      <c r="B569" s="35" t="s">
        <v>21</v>
      </c>
      <c r="C569" s="49">
        <v>44101</v>
      </c>
      <c r="D569" s="51" t="s">
        <v>670</v>
      </c>
      <c r="E569" s="3">
        <v>22642.43</v>
      </c>
      <c r="F569" s="9" t="s">
        <v>72</v>
      </c>
      <c r="G569" s="9" t="str">
        <f>IF(IFERROR(VLOOKUP(D569,Payments!G:G,1,FALSE),"UNPAID")=D569,"yes","no")</f>
        <v>yes</v>
      </c>
      <c r="H569" s="24">
        <v>301.13</v>
      </c>
    </row>
    <row r="570" spans="1:8">
      <c r="A570" s="8" t="s">
        <v>17</v>
      </c>
      <c r="B570" s="35" t="s">
        <v>22</v>
      </c>
      <c r="C570" s="49">
        <v>44101</v>
      </c>
      <c r="D570" s="51" t="s">
        <v>671</v>
      </c>
      <c r="E570" s="3">
        <v>6609.8</v>
      </c>
      <c r="F570" s="9" t="s">
        <v>72</v>
      </c>
      <c r="G570" s="9" t="str">
        <f>IF(IFERROR(VLOOKUP(D570,Payments!G:G,1,FALSE),"UNPAID")=D570,"yes","no")</f>
        <v>yes</v>
      </c>
    </row>
    <row r="571" spans="1:8">
      <c r="A571" s="8" t="s">
        <v>17</v>
      </c>
      <c r="B571" s="35" t="s">
        <v>22</v>
      </c>
      <c r="C571" s="49">
        <v>44101</v>
      </c>
      <c r="D571" s="51" t="s">
        <v>672</v>
      </c>
      <c r="E571" s="3">
        <f>304.75*125</f>
        <v>38093.75</v>
      </c>
      <c r="F571" s="9" t="s">
        <v>74</v>
      </c>
      <c r="G571" s="9" t="str">
        <f>IF(IFERROR(VLOOKUP(D571,Payments!G:G,1,FALSE),"UNPAID")=D571,"yes","no")</f>
        <v>yes</v>
      </c>
    </row>
    <row r="572" spans="1:8">
      <c r="A572" s="8" t="s">
        <v>17</v>
      </c>
      <c r="B572" s="35" t="s">
        <v>22</v>
      </c>
      <c r="C572" s="49">
        <v>44101</v>
      </c>
      <c r="D572" s="51" t="s">
        <v>673</v>
      </c>
      <c r="E572" s="3">
        <v>4909.6000000000004</v>
      </c>
      <c r="F572" s="9" t="s">
        <v>327</v>
      </c>
      <c r="G572" s="9" t="str">
        <f>IF(IFERROR(VLOOKUP(D572,Payments!G:G,1,FALSE),"UNPAID")=D572,"yes","no")</f>
        <v>no</v>
      </c>
    </row>
    <row r="573" spans="1:8">
      <c r="A573" s="8" t="s">
        <v>17</v>
      </c>
      <c r="B573" s="35" t="s">
        <v>23</v>
      </c>
      <c r="C573" s="49">
        <v>44101</v>
      </c>
      <c r="D573" s="51" t="s">
        <v>674</v>
      </c>
      <c r="E573" s="3">
        <v>6020.17</v>
      </c>
      <c r="F573" s="9" t="s">
        <v>72</v>
      </c>
      <c r="G573" s="9" t="str">
        <f>IF(IFERROR(VLOOKUP(D573,Payments!G:G,1,FALSE),"UNPAID")=D573,"yes","no")</f>
        <v>yes</v>
      </c>
    </row>
    <row r="574" spans="1:8">
      <c r="A574" s="8" t="s">
        <v>17</v>
      </c>
      <c r="B574" s="35" t="s">
        <v>23</v>
      </c>
      <c r="C574" s="49">
        <v>44101</v>
      </c>
      <c r="D574" s="51" t="s">
        <v>675</v>
      </c>
      <c r="E574" s="3">
        <v>4118.3999999999996</v>
      </c>
      <c r="F574" s="9" t="s">
        <v>327</v>
      </c>
      <c r="G574" s="9" t="str">
        <f>IF(IFERROR(VLOOKUP(D574,Payments!G:G,1,FALSE),"UNPAID")=D574,"yes","no")</f>
        <v>no</v>
      </c>
    </row>
    <row r="575" spans="1:8">
      <c r="A575" s="8" t="s">
        <v>17</v>
      </c>
      <c r="B575" s="35" t="s">
        <v>24</v>
      </c>
      <c r="C575" s="49">
        <v>44101</v>
      </c>
      <c r="D575" s="51" t="s">
        <v>676</v>
      </c>
      <c r="E575" s="3">
        <f>1.75*125</f>
        <v>218.75</v>
      </c>
      <c r="F575" s="9" t="s">
        <v>74</v>
      </c>
      <c r="G575" s="9" t="str">
        <f>IF(IFERROR(VLOOKUP(D575,Payments!G:G,1,FALSE),"UNPAID")=D575,"yes","no")</f>
        <v>yes</v>
      </c>
    </row>
    <row r="576" spans="1:8">
      <c r="A576" s="8" t="s">
        <v>17</v>
      </c>
      <c r="B576" s="35" t="s">
        <v>25</v>
      </c>
      <c r="C576" s="49">
        <v>44101</v>
      </c>
      <c r="D576" s="51" t="s">
        <v>677</v>
      </c>
      <c r="E576" s="3">
        <f>1.5*125</f>
        <v>187.5</v>
      </c>
      <c r="F576" s="9" t="s">
        <v>74</v>
      </c>
      <c r="G576" s="9" t="str">
        <f>IF(IFERROR(VLOOKUP(D576,Payments!G:G,1,FALSE),"UNPAID")=D576,"yes","no")</f>
        <v>yes</v>
      </c>
    </row>
    <row r="577" spans="2:9">
      <c r="B577" s="35" t="s">
        <v>27</v>
      </c>
      <c r="C577" s="49">
        <v>44101</v>
      </c>
      <c r="D577" s="51" t="s">
        <v>678</v>
      </c>
      <c r="E577" s="3">
        <f>1*200</f>
        <v>200</v>
      </c>
      <c r="F577" s="9" t="s">
        <v>74</v>
      </c>
      <c r="G577" s="9" t="str">
        <f>IF(IFERROR(VLOOKUP(D577,Payments!G:G,1,FALSE),"UNPAID")=D577,"yes","no")</f>
        <v>no</v>
      </c>
    </row>
    <row r="578" spans="2:9">
      <c r="B578" s="35" t="s">
        <v>28</v>
      </c>
      <c r="C578" s="49">
        <v>44101</v>
      </c>
      <c r="D578" s="51" t="s">
        <v>679</v>
      </c>
      <c r="E578" s="3">
        <f>1*200</f>
        <v>200</v>
      </c>
      <c r="F578" s="9" t="s">
        <v>74</v>
      </c>
      <c r="G578" s="9" t="str">
        <f>IF(IFERROR(VLOOKUP(D578,Payments!G:G,1,FALSE),"UNPAID")=D578,"yes","no")</f>
        <v>yes</v>
      </c>
    </row>
    <row r="579" spans="2:9">
      <c r="B579" s="35" t="s">
        <v>29</v>
      </c>
      <c r="C579" s="49">
        <v>44101</v>
      </c>
      <c r="D579" s="51" t="s">
        <v>680</v>
      </c>
      <c r="E579" s="3">
        <f>1*200</f>
        <v>200</v>
      </c>
      <c r="F579" s="9" t="s">
        <v>74</v>
      </c>
      <c r="G579" s="9" t="str">
        <f>IF(IFERROR(VLOOKUP(D579,Payments!G:G,1,FALSE),"UNPAID")=D579,"yes","no")</f>
        <v>yes</v>
      </c>
    </row>
    <row r="580" spans="2:9">
      <c r="B580" s="35" t="s">
        <v>30</v>
      </c>
      <c r="C580" s="49">
        <v>44101</v>
      </c>
      <c r="D580" s="51" t="s">
        <v>681</v>
      </c>
      <c r="E580" s="3">
        <f>1*200</f>
        <v>200</v>
      </c>
      <c r="F580" s="9" t="s">
        <v>74</v>
      </c>
      <c r="G580" s="9" t="str">
        <f>IF(IFERROR(VLOOKUP(D580,Payments!G:G,1,FALSE),"UNPAID")=D580,"yes","no")</f>
        <v>yes</v>
      </c>
    </row>
    <row r="581" spans="2:9">
      <c r="B581" s="35" t="s">
        <v>31</v>
      </c>
      <c r="C581" s="49">
        <v>44101</v>
      </c>
      <c r="D581" s="51" t="s">
        <v>682</v>
      </c>
      <c r="E581" s="3">
        <v>4058.02</v>
      </c>
      <c r="F581" s="9" t="s">
        <v>72</v>
      </c>
      <c r="G581" s="9" t="str">
        <f>IF(IFERROR(VLOOKUP(D581,Payments!G:G,1,FALSE),"UNPAID")=D581,"yes","no")</f>
        <v>yes</v>
      </c>
      <c r="H581" s="24">
        <v>319.11</v>
      </c>
    </row>
    <row r="582" spans="2:9">
      <c r="B582" s="35" t="s">
        <v>31</v>
      </c>
      <c r="C582" s="49">
        <v>44101</v>
      </c>
      <c r="D582" s="51" t="s">
        <v>683</v>
      </c>
      <c r="E582" s="3">
        <f>2*110</f>
        <v>220</v>
      </c>
      <c r="F582" s="9" t="s">
        <v>74</v>
      </c>
      <c r="G582" s="9" t="str">
        <f>IF(IFERROR(VLOOKUP(D582,Payments!G:G,1,FALSE),"UNPAID")=D582,"yes","no")</f>
        <v>yes</v>
      </c>
    </row>
    <row r="583" spans="2:9">
      <c r="B583" s="35" t="s">
        <v>31</v>
      </c>
      <c r="C583" s="49">
        <v>44101</v>
      </c>
      <c r="D583" s="51" t="s">
        <v>684</v>
      </c>
      <c r="E583" s="3">
        <v>96.41</v>
      </c>
      <c r="F583" s="9" t="s">
        <v>235</v>
      </c>
      <c r="G583" s="9" t="str">
        <f>IF(IFERROR(VLOOKUP(D583,Payments!G:G,1,FALSE),"UNPAID")=D583,"yes","no")</f>
        <v>yes</v>
      </c>
    </row>
    <row r="584" spans="2:9">
      <c r="B584" s="35" t="s">
        <v>32</v>
      </c>
      <c r="C584" s="49">
        <v>44101</v>
      </c>
      <c r="D584" s="51" t="s">
        <v>685</v>
      </c>
      <c r="E584" s="3">
        <v>2103.88</v>
      </c>
      <c r="F584" s="9" t="s">
        <v>72</v>
      </c>
      <c r="G584" s="9" t="str">
        <f>IF(IFERROR(VLOOKUP(D584,Payments!G:G,1,FALSE),"UNPAID")=D584,"yes","no")</f>
        <v>yes</v>
      </c>
      <c r="I584" s="25" t="s">
        <v>336</v>
      </c>
    </row>
    <row r="585" spans="2:9">
      <c r="B585" s="35" t="s">
        <v>32</v>
      </c>
      <c r="C585" s="49">
        <v>44101</v>
      </c>
      <c r="D585" s="51" t="s">
        <v>686</v>
      </c>
      <c r="E585" s="3">
        <v>1332</v>
      </c>
      <c r="F585" s="9" t="s">
        <v>74</v>
      </c>
      <c r="G585" s="9" t="str">
        <f>IF(IFERROR(VLOOKUP(D585,Payments!G:G,1,FALSE),"UNPAID")=D585,"yes","no")</f>
        <v>no</v>
      </c>
    </row>
    <row r="586" spans="2:9">
      <c r="B586" s="35" t="s">
        <v>34</v>
      </c>
      <c r="C586" s="49">
        <v>44101</v>
      </c>
      <c r="D586" s="51" t="s">
        <v>687</v>
      </c>
      <c r="E586" s="3">
        <f>(12.25*200)+(3242*2)</f>
        <v>8934</v>
      </c>
      <c r="F586" s="9" t="s">
        <v>74</v>
      </c>
      <c r="G586" s="9" t="str">
        <f>IF(IFERROR(VLOOKUP(D586,Payments!G:G,1,FALSE),"UNPAID")=D586,"yes","no")</f>
        <v>yes</v>
      </c>
      <c r="I586" s="25" t="s">
        <v>688</v>
      </c>
    </row>
    <row r="587" spans="2:9">
      <c r="B587" s="35" t="s">
        <v>35</v>
      </c>
      <c r="C587" s="49">
        <v>44101</v>
      </c>
      <c r="D587" s="51" t="s">
        <v>689</v>
      </c>
      <c r="E587" s="3">
        <f>(1*150)+(0.5*150)+(1*150)+(1*150)</f>
        <v>525</v>
      </c>
      <c r="F587" s="9" t="s">
        <v>74</v>
      </c>
      <c r="G587" s="9" t="str">
        <f>IF(IFERROR(VLOOKUP(D587,Payments!G:G,1,FALSE),"UNPAID")=D587,"yes","no")</f>
        <v>yes</v>
      </c>
      <c r="I587" s="25" t="s">
        <v>690</v>
      </c>
    </row>
    <row r="588" spans="2:9">
      <c r="B588" s="34" t="s">
        <v>119</v>
      </c>
      <c r="C588" s="49">
        <v>44086</v>
      </c>
      <c r="D588" s="51" t="s">
        <v>691</v>
      </c>
      <c r="E588" s="3">
        <v>9160.92</v>
      </c>
      <c r="F588" s="9" t="s">
        <v>72</v>
      </c>
      <c r="G588" s="9" t="str">
        <f>IF(IFERROR(VLOOKUP(D588,Payments!G:G,1,FALSE),"UNPAID")=D588,"yes","no")</f>
        <v>yes</v>
      </c>
      <c r="H588" s="24">
        <v>896.27</v>
      </c>
    </row>
    <row r="589" spans="2:9">
      <c r="B589" s="34" t="s">
        <v>119</v>
      </c>
      <c r="C589" s="49">
        <v>44101</v>
      </c>
      <c r="D589" s="51" t="s">
        <v>692</v>
      </c>
      <c r="E589" s="3">
        <v>15475.4</v>
      </c>
      <c r="F589" s="9" t="s">
        <v>72</v>
      </c>
      <c r="G589" s="9" t="str">
        <f>IF(IFERROR(VLOOKUP(D589,Payments!G:G,1,FALSE),"UNPAID")=D589,"yes","no")</f>
        <v>yes</v>
      </c>
      <c r="H589" s="24">
        <v>2596.0500000000002</v>
      </c>
    </row>
    <row r="590" spans="2:9">
      <c r="B590" s="35" t="s">
        <v>37</v>
      </c>
      <c r="C590" s="49">
        <v>44101</v>
      </c>
      <c r="D590" s="51" t="s">
        <v>693</v>
      </c>
      <c r="E590" s="3">
        <v>45917.23</v>
      </c>
      <c r="F590" s="9" t="s">
        <v>72</v>
      </c>
      <c r="G590" s="9" t="str">
        <f>IF(IFERROR(VLOOKUP(D590,Payments!G:G,1,FALSE),"UNPAID")=D590,"yes","no")</f>
        <v>yes</v>
      </c>
      <c r="H590" s="24">
        <v>2875.76</v>
      </c>
    </row>
    <row r="591" spans="2:9">
      <c r="B591" s="35" t="s">
        <v>37</v>
      </c>
      <c r="C591" s="49">
        <v>44101</v>
      </c>
      <c r="D591" s="51" t="s">
        <v>694</v>
      </c>
      <c r="E591" s="3">
        <f>70.5*150</f>
        <v>10575</v>
      </c>
      <c r="F591" s="9" t="s">
        <v>74</v>
      </c>
      <c r="G591" s="9" t="str">
        <f>IF(IFERROR(VLOOKUP(D591,Payments!G:G,1,FALSE),"UNPAID")=D591,"yes","no")</f>
        <v>yes</v>
      </c>
    </row>
    <row r="592" spans="2:9">
      <c r="B592" s="35" t="s">
        <v>39</v>
      </c>
      <c r="C592" s="49">
        <v>44101</v>
      </c>
      <c r="D592" s="51" t="s">
        <v>695</v>
      </c>
      <c r="E592" s="3">
        <v>9045.64</v>
      </c>
      <c r="F592" s="9" t="s">
        <v>72</v>
      </c>
      <c r="G592" s="9" t="str">
        <f>IF(IFERROR(VLOOKUP(D592,Payments!G:G,1,FALSE),"UNPAID")=D592,"yes","no")</f>
        <v>yes</v>
      </c>
    </row>
    <row r="593" spans="2:8">
      <c r="B593" s="35" t="s">
        <v>39</v>
      </c>
      <c r="C593" s="49">
        <v>44101</v>
      </c>
      <c r="D593" s="51" t="s">
        <v>696</v>
      </c>
      <c r="E593" s="3">
        <v>53.28</v>
      </c>
      <c r="F593" s="9" t="s">
        <v>235</v>
      </c>
      <c r="G593" s="9" t="str">
        <f>IF(IFERROR(VLOOKUP(D593,Payments!G:G,1,FALSE),"UNPAID")=D593,"yes","no")</f>
        <v>yes</v>
      </c>
    </row>
    <row r="594" spans="2:8">
      <c r="B594" s="35" t="s">
        <v>39</v>
      </c>
      <c r="C594" s="49">
        <v>44101</v>
      </c>
      <c r="D594" s="51" t="s">
        <v>697</v>
      </c>
      <c r="E594" s="3">
        <v>500</v>
      </c>
      <c r="F594" s="9" t="s">
        <v>74</v>
      </c>
      <c r="G594" s="9" t="str">
        <f>IF(IFERROR(VLOOKUP(D594,Payments!G:G,1,FALSE),"UNPAID")=D594,"yes","no")</f>
        <v>yes</v>
      </c>
    </row>
    <row r="595" spans="2:8">
      <c r="B595" s="35" t="s">
        <v>40</v>
      </c>
      <c r="C595" s="49">
        <v>44101</v>
      </c>
      <c r="D595" s="51" t="s">
        <v>698</v>
      </c>
      <c r="E595" s="3">
        <v>1931.91</v>
      </c>
      <c r="F595" s="9" t="s">
        <v>72</v>
      </c>
      <c r="G595" s="9" t="str">
        <f>IF(IFERROR(VLOOKUP(D595,Payments!G:G,1,FALSE),"UNPAID")=D595,"yes","no")</f>
        <v>yes</v>
      </c>
      <c r="H595" s="24">
        <v>272.45</v>
      </c>
    </row>
    <row r="596" spans="2:8">
      <c r="B596" s="35" t="s">
        <v>40</v>
      </c>
      <c r="C596" s="49">
        <v>44101</v>
      </c>
      <c r="D596" s="51" t="s">
        <v>699</v>
      </c>
      <c r="E596" s="3">
        <v>84.73</v>
      </c>
      <c r="F596" s="9" t="s">
        <v>235</v>
      </c>
      <c r="G596" s="9" t="str">
        <f>IF(IFERROR(VLOOKUP(D596,Payments!G:G,1,FALSE),"UNPAID")=D596,"yes","no")</f>
        <v>yes</v>
      </c>
    </row>
    <row r="597" spans="2:8">
      <c r="B597" s="35" t="s">
        <v>40</v>
      </c>
      <c r="C597" s="49">
        <v>44101</v>
      </c>
      <c r="D597" s="51" t="s">
        <v>700</v>
      </c>
      <c r="E597" s="3">
        <v>1750</v>
      </c>
      <c r="F597" s="9" t="s">
        <v>74</v>
      </c>
      <c r="G597" s="9" t="str">
        <f>IF(IFERROR(VLOOKUP(D597,Payments!G:G,1,FALSE),"UNPAID")=D597,"yes","no")</f>
        <v>yes</v>
      </c>
    </row>
    <row r="598" spans="2:8">
      <c r="B598" s="35" t="s">
        <v>41</v>
      </c>
      <c r="C598" s="49">
        <v>44101</v>
      </c>
      <c r="D598" s="51" t="s">
        <v>701</v>
      </c>
      <c r="E598" s="3">
        <v>4908.5600000000004</v>
      </c>
      <c r="F598" s="9" t="s">
        <v>72</v>
      </c>
      <c r="G598" s="9" t="str">
        <f>IF(IFERROR(VLOOKUP(D598,Payments!G:G,1,FALSE),"UNPAID")=D598,"yes","no")</f>
        <v>no</v>
      </c>
      <c r="H598" s="24">
        <v>46</v>
      </c>
    </row>
    <row r="599" spans="2:8">
      <c r="B599" s="35" t="s">
        <v>41</v>
      </c>
      <c r="C599" s="49">
        <v>44101</v>
      </c>
      <c r="D599" s="51" t="s">
        <v>702</v>
      </c>
      <c r="E599" s="3">
        <v>500</v>
      </c>
      <c r="F599" s="9" t="s">
        <v>74</v>
      </c>
      <c r="G599" s="9" t="str">
        <f>IF(IFERROR(VLOOKUP(D599,Payments!G:G,1,FALSE),"UNPAID")=D599,"yes","no")</f>
        <v>no</v>
      </c>
    </row>
    <row r="600" spans="2:8">
      <c r="B600" s="35" t="s">
        <v>131</v>
      </c>
      <c r="C600" s="49">
        <v>44101</v>
      </c>
      <c r="D600" s="51" t="s">
        <v>703</v>
      </c>
      <c r="E600" s="3">
        <v>16077.66</v>
      </c>
      <c r="F600" s="9" t="s">
        <v>72</v>
      </c>
      <c r="G600" s="9" t="str">
        <f>IF(IFERROR(VLOOKUP(D600,Payments!G:G,1,FALSE),"UNPAID")=D600,"yes","no")</f>
        <v>yes</v>
      </c>
      <c r="H600" s="24">
        <v>788.89</v>
      </c>
    </row>
    <row r="601" spans="2:8">
      <c r="B601" s="35" t="s">
        <v>131</v>
      </c>
      <c r="C601" s="49">
        <v>44101</v>
      </c>
      <c r="D601" s="51" t="s">
        <v>704</v>
      </c>
      <c r="E601" s="3">
        <v>43.76</v>
      </c>
      <c r="F601" s="9" t="s">
        <v>235</v>
      </c>
      <c r="G601" s="9" t="str">
        <f>IF(IFERROR(VLOOKUP(D601,Payments!G:G,1,FALSE),"UNPAID")=D601,"yes","no")</f>
        <v>no</v>
      </c>
    </row>
    <row r="602" spans="2:8">
      <c r="B602" s="35" t="s">
        <v>131</v>
      </c>
      <c r="C602" s="49">
        <v>44101</v>
      </c>
      <c r="D602" s="51" t="s">
        <v>705</v>
      </c>
      <c r="E602" s="3">
        <v>20833.330000000002</v>
      </c>
      <c r="F602" s="9" t="s">
        <v>74</v>
      </c>
      <c r="G602" s="9" t="str">
        <f>IF(IFERROR(VLOOKUP(D602,Payments!G:G,1,FALSE),"UNPAID")=D602,"yes","no")</f>
        <v>no</v>
      </c>
    </row>
    <row r="603" spans="2:8">
      <c r="B603" s="35" t="s">
        <v>706</v>
      </c>
      <c r="C603" s="49">
        <v>44101</v>
      </c>
      <c r="D603" s="51" t="s">
        <v>707</v>
      </c>
      <c r="E603" s="3">
        <v>49.05</v>
      </c>
      <c r="F603" s="9" t="s">
        <v>235</v>
      </c>
      <c r="G603" s="9" t="str">
        <f>IF(IFERROR(VLOOKUP(D603,Payments!G:G,1,FALSE),"UNPAID")=D603,"yes","no")</f>
        <v>yes</v>
      </c>
    </row>
    <row r="604" spans="2:8">
      <c r="B604" s="35" t="s">
        <v>49</v>
      </c>
      <c r="C604" s="49">
        <v>44101</v>
      </c>
      <c r="D604" s="51" t="s">
        <v>708</v>
      </c>
      <c r="E604" s="3">
        <v>1232.8800000000001</v>
      </c>
      <c r="F604" s="9" t="s">
        <v>204</v>
      </c>
      <c r="G604" s="9" t="str">
        <f>IF(IFERROR(VLOOKUP(D604,Payments!G:G,1,FALSE),"UNPAID")=D604,"yes","no")</f>
        <v>yes</v>
      </c>
    </row>
    <row r="605" spans="2:8">
      <c r="B605" s="35" t="s">
        <v>50</v>
      </c>
      <c r="C605" s="49">
        <v>44101</v>
      </c>
      <c r="D605" s="51" t="s">
        <v>709</v>
      </c>
      <c r="E605" s="3">
        <v>372</v>
      </c>
      <c r="F605" s="9" t="s">
        <v>204</v>
      </c>
      <c r="G605" s="9" t="str">
        <f>IF(IFERROR(VLOOKUP(D605,Payments!G:G,1,FALSE),"UNPAID")=D605,"yes","no")</f>
        <v>yes</v>
      </c>
    </row>
    <row r="606" spans="2:8">
      <c r="B606" s="34" t="s">
        <v>52</v>
      </c>
      <c r="C606" s="49">
        <v>44101</v>
      </c>
      <c r="D606" s="51" t="s">
        <v>710</v>
      </c>
      <c r="E606" s="3">
        <v>780.4</v>
      </c>
      <c r="F606" s="9" t="s">
        <v>204</v>
      </c>
      <c r="G606" s="9" t="str">
        <f>IF(IFERROR(VLOOKUP(D606,Payments!G:G,1,FALSE),"UNPAID")=D606,"yes","no")</f>
        <v>yes</v>
      </c>
    </row>
    <row r="607" spans="2:8">
      <c r="B607" s="35" t="s">
        <v>53</v>
      </c>
      <c r="C607" s="49">
        <v>44101</v>
      </c>
      <c r="D607" s="51" t="s">
        <v>711</v>
      </c>
      <c r="E607" s="3">
        <v>1155</v>
      </c>
      <c r="F607" s="9" t="s">
        <v>204</v>
      </c>
      <c r="G607" s="9" t="str">
        <f>IF(IFERROR(VLOOKUP(D607,Payments!G:G,1,FALSE),"UNPAID")=D607,"yes","no")</f>
        <v>yes</v>
      </c>
    </row>
    <row r="608" spans="2:8">
      <c r="B608" s="35" t="s">
        <v>54</v>
      </c>
      <c r="C608" s="49">
        <v>44101</v>
      </c>
      <c r="D608" s="51" t="s">
        <v>712</v>
      </c>
      <c r="E608" s="3">
        <v>179.5</v>
      </c>
      <c r="F608" s="9" t="s">
        <v>204</v>
      </c>
      <c r="G608" s="9" t="str">
        <f>IF(IFERROR(VLOOKUP(D608,Payments!G:G,1,FALSE),"UNPAID")=D608,"yes","no")</f>
        <v>yes</v>
      </c>
    </row>
    <row r="609" spans="1:8">
      <c r="B609" s="35" t="s">
        <v>57</v>
      </c>
      <c r="C609" s="49">
        <v>44101</v>
      </c>
      <c r="D609" s="51" t="s">
        <v>713</v>
      </c>
      <c r="E609" s="3">
        <v>149</v>
      </c>
      <c r="F609" s="9" t="s">
        <v>204</v>
      </c>
      <c r="G609" s="9" t="str">
        <f>IF(IFERROR(VLOOKUP(D609,Payments!G:G,1,FALSE),"UNPAID")=D609,"yes","no")</f>
        <v>no</v>
      </c>
    </row>
    <row r="610" spans="1:8">
      <c r="B610" s="35" t="s">
        <v>58</v>
      </c>
      <c r="C610" s="49">
        <v>44101</v>
      </c>
      <c r="D610" s="51" t="s">
        <v>714</v>
      </c>
      <c r="E610" s="3">
        <v>50</v>
      </c>
      <c r="F610" s="9" t="s">
        <v>204</v>
      </c>
      <c r="G610" s="9" t="str">
        <f>IF(IFERROR(VLOOKUP(D610,Payments!G:G,1,FALSE),"UNPAID")=D610,"yes","no")</f>
        <v>yes</v>
      </c>
    </row>
    <row r="611" spans="1:8">
      <c r="B611" s="34" t="s">
        <v>59</v>
      </c>
      <c r="C611" s="49">
        <v>44101</v>
      </c>
      <c r="D611" s="51" t="s">
        <v>715</v>
      </c>
      <c r="E611" s="3">
        <v>675.4</v>
      </c>
      <c r="F611" s="9" t="s">
        <v>204</v>
      </c>
      <c r="G611" s="9" t="str">
        <f>IF(IFERROR(VLOOKUP(D611,Payments!G:G,1,FALSE),"UNPAID")=D611,"yes","no")</f>
        <v>yes</v>
      </c>
    </row>
    <row r="612" spans="1:8">
      <c r="B612" s="35" t="s">
        <v>60</v>
      </c>
      <c r="C612" s="49">
        <v>44101</v>
      </c>
      <c r="D612" s="51" t="s">
        <v>716</v>
      </c>
      <c r="E612" s="3">
        <v>786</v>
      </c>
      <c r="F612" s="9" t="s">
        <v>204</v>
      </c>
      <c r="G612" s="9" t="str">
        <f>IF(IFERROR(VLOOKUP(D612,Payments!G:G,1,FALSE),"UNPAID")=D612,"yes","no")</f>
        <v>yes</v>
      </c>
    </row>
    <row r="613" spans="1:8">
      <c r="B613" s="34" t="s">
        <v>62</v>
      </c>
      <c r="C613" s="49">
        <v>44101</v>
      </c>
      <c r="D613" s="51" t="s">
        <v>717</v>
      </c>
      <c r="E613" s="3">
        <v>60.05</v>
      </c>
      <c r="F613" s="9" t="s">
        <v>204</v>
      </c>
      <c r="G613" s="9" t="str">
        <f>IF(IFERROR(VLOOKUP(D613,Payments!G:G,1,FALSE),"UNPAID")=D613,"yes","no")</f>
        <v>yes</v>
      </c>
    </row>
    <row r="614" spans="1:8">
      <c r="B614" s="35" t="s">
        <v>63</v>
      </c>
      <c r="C614" s="49">
        <v>44101</v>
      </c>
      <c r="D614" s="51" t="s">
        <v>718</v>
      </c>
      <c r="E614" s="3">
        <v>595</v>
      </c>
      <c r="F614" s="9" t="s">
        <v>204</v>
      </c>
      <c r="G614" s="9" t="str">
        <f>IF(IFERROR(VLOOKUP(D614,Payments!G:G,1,FALSE),"UNPAID")=D614,"yes","no")</f>
        <v>yes</v>
      </c>
    </row>
    <row r="615" spans="1:8">
      <c r="A615" s="8" t="s">
        <v>70</v>
      </c>
      <c r="B615" s="34" t="s">
        <v>6</v>
      </c>
      <c r="C615" s="49">
        <v>44116</v>
      </c>
      <c r="D615" s="11" t="s">
        <v>719</v>
      </c>
      <c r="E615" s="3">
        <v>37177.339999999997</v>
      </c>
      <c r="F615" s="9" t="s">
        <v>72</v>
      </c>
      <c r="G615" s="9" t="str">
        <f>IF(IFERROR(VLOOKUP(D615,Payments!G:G,1,FALSE),"UNPAID")=D615,"yes","no")</f>
        <v>yes</v>
      </c>
      <c r="H615" s="24">
        <v>1807.08</v>
      </c>
    </row>
    <row r="616" spans="1:8">
      <c r="A616" s="8" t="s">
        <v>70</v>
      </c>
      <c r="B616" s="34" t="s">
        <v>6</v>
      </c>
      <c r="C616" s="49">
        <v>44116</v>
      </c>
      <c r="D616" s="11" t="s">
        <v>720</v>
      </c>
      <c r="E616" s="3">
        <f>141.5*110</f>
        <v>15565</v>
      </c>
      <c r="F616" s="9" t="s">
        <v>74</v>
      </c>
      <c r="G616" s="9" t="str">
        <f>IF(IFERROR(VLOOKUP(D616,Payments!G:G,1,FALSE),"UNPAID")=D616,"yes","no")</f>
        <v>yes</v>
      </c>
    </row>
    <row r="617" spans="1:8">
      <c r="A617" s="8" t="s">
        <v>70</v>
      </c>
      <c r="B617" s="34" t="s">
        <v>6</v>
      </c>
      <c r="C617" s="49">
        <v>44131</v>
      </c>
      <c r="D617" s="11" t="s">
        <v>721</v>
      </c>
      <c r="E617" s="3">
        <v>41090.120000000003</v>
      </c>
      <c r="F617" s="9" t="s">
        <v>72</v>
      </c>
      <c r="G617" s="9" t="str">
        <f>IF(IFERROR(VLOOKUP(D617,Payments!G:G,1,FALSE),"UNPAID")=D617,"yes","no")</f>
        <v>yes</v>
      </c>
      <c r="H617" s="24">
        <v>2299.88</v>
      </c>
    </row>
    <row r="618" spans="1:8">
      <c r="A618" s="8" t="s">
        <v>70</v>
      </c>
      <c r="B618" s="34" t="s">
        <v>7</v>
      </c>
      <c r="C618" s="49">
        <v>44116</v>
      </c>
      <c r="D618" s="11" t="s">
        <v>722</v>
      </c>
      <c r="E618" s="3">
        <v>18984.04</v>
      </c>
      <c r="F618" s="9" t="s">
        <v>72</v>
      </c>
      <c r="G618" s="9" t="str">
        <f>IF(IFERROR(VLOOKUP(D618,Payments!G:G,1,FALSE),"UNPAID")=D618,"yes","no")</f>
        <v>yes</v>
      </c>
      <c r="H618" s="24">
        <v>587.83000000000004</v>
      </c>
    </row>
    <row r="619" spans="1:8">
      <c r="A619" s="8" t="s">
        <v>70</v>
      </c>
      <c r="B619" s="34" t="s">
        <v>7</v>
      </c>
      <c r="C619" s="49">
        <v>44116</v>
      </c>
      <c r="D619" s="11" t="s">
        <v>723</v>
      </c>
      <c r="E619" s="3">
        <f>89.75*110</f>
        <v>9872.5</v>
      </c>
      <c r="F619" s="9" t="s">
        <v>74</v>
      </c>
      <c r="G619" s="9" t="str">
        <f>IF(IFERROR(VLOOKUP(D619,Payments!G:G,1,FALSE),"UNPAID")=D619,"yes","no")</f>
        <v>yes</v>
      </c>
    </row>
    <row r="620" spans="1:8">
      <c r="A620" s="8" t="s">
        <v>70</v>
      </c>
      <c r="B620" s="34" t="s">
        <v>7</v>
      </c>
      <c r="C620" s="49">
        <v>44131</v>
      </c>
      <c r="D620" s="11" t="s">
        <v>724</v>
      </c>
      <c r="E620" s="3">
        <v>19142.169999999998</v>
      </c>
      <c r="F620" s="9" t="s">
        <v>72</v>
      </c>
      <c r="G620" s="9" t="str">
        <f>IF(IFERROR(VLOOKUP(D620,Payments!G:G,1,FALSE),"UNPAID")=D620,"yes","no")</f>
        <v>no</v>
      </c>
      <c r="H620" s="24">
        <v>633.47</v>
      </c>
    </row>
    <row r="621" spans="1:8">
      <c r="A621" s="8" t="s">
        <v>70</v>
      </c>
      <c r="B621" s="35" t="s">
        <v>8</v>
      </c>
      <c r="C621" s="49">
        <v>44131</v>
      </c>
      <c r="D621" s="12" t="s">
        <v>725</v>
      </c>
      <c r="E621" s="3">
        <v>9065.1</v>
      </c>
      <c r="F621" s="9" t="s">
        <v>72</v>
      </c>
      <c r="G621" s="9" t="str">
        <f>IF(IFERROR(VLOOKUP(D621,Payments!G:G,1,FALSE),"UNPAID")=D621,"yes","no")</f>
        <v>yes</v>
      </c>
      <c r="H621" s="24">
        <v>149.36000000000001</v>
      </c>
    </row>
    <row r="622" spans="1:8">
      <c r="A622" s="8" t="s">
        <v>70</v>
      </c>
      <c r="B622" s="35" t="s">
        <v>8</v>
      </c>
      <c r="C622" s="49">
        <v>44131</v>
      </c>
      <c r="D622" s="12" t="s">
        <v>726</v>
      </c>
      <c r="E622" s="3">
        <f>10.75*110</f>
        <v>1182.5</v>
      </c>
      <c r="F622" s="9" t="s">
        <v>74</v>
      </c>
      <c r="G622" s="9" t="str">
        <f>IF(IFERROR(VLOOKUP(D622,Payments!G:G,1,FALSE),"UNPAID")=D622,"yes","no")</f>
        <v>no</v>
      </c>
    </row>
    <row r="623" spans="1:8">
      <c r="A623" s="8" t="s">
        <v>70</v>
      </c>
      <c r="B623" s="35" t="s">
        <v>9</v>
      </c>
      <c r="C623" s="49">
        <v>44131</v>
      </c>
      <c r="D623" s="12" t="s">
        <v>727</v>
      </c>
      <c r="E623" s="3">
        <v>2704.46</v>
      </c>
      <c r="F623" s="9" t="s">
        <v>72</v>
      </c>
      <c r="G623" s="9" t="str">
        <f>IF(IFERROR(VLOOKUP(D623,Payments!G:G,1,FALSE),"UNPAID")=D623,"yes","no")</f>
        <v>no</v>
      </c>
      <c r="H623" s="24">
        <v>37.03</v>
      </c>
    </row>
    <row r="624" spans="1:8">
      <c r="A624" s="8" t="s">
        <v>70</v>
      </c>
      <c r="B624" s="35" t="s">
        <v>9</v>
      </c>
      <c r="C624" s="49">
        <v>44131</v>
      </c>
      <c r="D624" s="12" t="s">
        <v>728</v>
      </c>
      <c r="E624" s="3">
        <f>2.5*110</f>
        <v>275</v>
      </c>
      <c r="F624" s="9" t="s">
        <v>74</v>
      </c>
      <c r="G624" s="9" t="str">
        <f>IF(IFERROR(VLOOKUP(D624,Payments!G:G,1,FALSE),"UNPAID")=D624,"yes","no")</f>
        <v>yes</v>
      </c>
    </row>
    <row r="625" spans="1:9">
      <c r="A625" s="8" t="s">
        <v>70</v>
      </c>
      <c r="B625" s="34" t="s">
        <v>10</v>
      </c>
      <c r="C625" s="49">
        <v>44131</v>
      </c>
      <c r="D625" s="50" t="s">
        <v>729</v>
      </c>
      <c r="E625" s="3">
        <v>861.3</v>
      </c>
      <c r="F625" s="9" t="s">
        <v>72</v>
      </c>
      <c r="G625" s="9" t="str">
        <f>IF(IFERROR(VLOOKUP(D625,Payments!G:G,1,FALSE),"UNPAID")=D625,"yes","no")</f>
        <v>yes</v>
      </c>
      <c r="H625" s="24">
        <v>29.95</v>
      </c>
    </row>
    <row r="626" spans="1:9">
      <c r="A626" s="8" t="s">
        <v>70</v>
      </c>
      <c r="B626" s="34" t="s">
        <v>10</v>
      </c>
      <c r="C626" s="49">
        <v>44131</v>
      </c>
      <c r="D626" s="50" t="s">
        <v>730</v>
      </c>
      <c r="E626" s="3">
        <f>9.75*110</f>
        <v>1072.5</v>
      </c>
      <c r="F626" s="9" t="s">
        <v>74</v>
      </c>
      <c r="G626" s="9" t="str">
        <f>IF(IFERROR(VLOOKUP(D626,Payments!G:G,1,FALSE),"UNPAID")=D626,"yes","no")</f>
        <v>yes</v>
      </c>
    </row>
    <row r="627" spans="1:9">
      <c r="A627" s="8" t="s">
        <v>70</v>
      </c>
      <c r="B627" s="34" t="s">
        <v>11</v>
      </c>
      <c r="C627" s="49">
        <v>44131</v>
      </c>
      <c r="D627" s="51" t="s">
        <v>731</v>
      </c>
      <c r="E627" s="3">
        <v>9986.02</v>
      </c>
      <c r="F627" s="9" t="s">
        <v>72</v>
      </c>
      <c r="G627" s="9" t="str">
        <f>IF(IFERROR(VLOOKUP(D627,Payments!G:G,1,FALSE),"UNPAID")=D627,"yes","no")</f>
        <v>yes</v>
      </c>
      <c r="H627" s="24">
        <v>638.65</v>
      </c>
    </row>
    <row r="628" spans="1:9">
      <c r="A628" s="8" t="s">
        <v>70</v>
      </c>
      <c r="B628" s="34" t="s">
        <v>11</v>
      </c>
      <c r="C628" s="49">
        <v>44131</v>
      </c>
      <c r="D628" s="51" t="s">
        <v>732</v>
      </c>
      <c r="E628" s="3">
        <f>10.75*110</f>
        <v>1182.5</v>
      </c>
      <c r="F628" s="9" t="s">
        <v>74</v>
      </c>
      <c r="G628" s="9" t="str">
        <f>IF(IFERROR(VLOOKUP(D628,Payments!G:G,1,FALSE),"UNPAID")=D628,"yes","no")</f>
        <v>yes</v>
      </c>
    </row>
    <row r="629" spans="1:9">
      <c r="A629" s="8" t="s">
        <v>70</v>
      </c>
      <c r="B629" s="35" t="s">
        <v>12</v>
      </c>
      <c r="C629" s="49">
        <v>44131</v>
      </c>
      <c r="D629" s="51" t="s">
        <v>733</v>
      </c>
      <c r="E629" s="3">
        <v>954.03</v>
      </c>
      <c r="F629" s="9" t="s">
        <v>72</v>
      </c>
      <c r="G629" s="9" t="str">
        <f>IF(IFERROR(VLOOKUP(D629,Payments!G:G,1,FALSE),"UNPAID")=D629,"yes","no")</f>
        <v>yes</v>
      </c>
    </row>
    <row r="630" spans="1:9">
      <c r="A630" s="8" t="s">
        <v>70</v>
      </c>
      <c r="B630" s="35" t="s">
        <v>12</v>
      </c>
      <c r="C630" s="49">
        <v>44131</v>
      </c>
      <c r="D630" s="51" t="s">
        <v>734</v>
      </c>
      <c r="E630" s="3">
        <f>4*110</f>
        <v>440</v>
      </c>
      <c r="F630" s="9" t="s">
        <v>74</v>
      </c>
      <c r="G630" s="9" t="str">
        <f>IF(IFERROR(VLOOKUP(D630,Payments!G:G,1,FALSE),"UNPAID")=D630,"yes","no")</f>
        <v>yes</v>
      </c>
    </row>
    <row r="631" spans="1:9">
      <c r="A631" s="8" t="s">
        <v>70</v>
      </c>
      <c r="B631" s="35" t="s">
        <v>13</v>
      </c>
      <c r="C631" s="49">
        <v>44131</v>
      </c>
      <c r="D631" s="51" t="s">
        <v>735</v>
      </c>
      <c r="E631" s="3">
        <v>100</v>
      </c>
      <c r="F631" s="9" t="s">
        <v>74</v>
      </c>
      <c r="G631" s="9" t="str">
        <f>IF(IFERROR(VLOOKUP(D631,Payments!G:G,1,FALSE),"UNPAID")=D631,"yes","no")</f>
        <v>yes</v>
      </c>
      <c r="H631" s="24">
        <v>50</v>
      </c>
    </row>
    <row r="632" spans="1:9">
      <c r="A632" s="8" t="s">
        <v>70</v>
      </c>
      <c r="B632" s="35" t="s">
        <v>14</v>
      </c>
      <c r="C632" s="49">
        <v>44131</v>
      </c>
      <c r="D632" s="51" t="s">
        <v>736</v>
      </c>
      <c r="E632" s="3">
        <v>1983.59</v>
      </c>
      <c r="F632" s="9" t="s">
        <v>72</v>
      </c>
      <c r="G632" s="9" t="str">
        <f>IF(IFERROR(VLOOKUP(D632,Payments!G:G,1,FALSE),"UNPAID")=D632,"yes","no")</f>
        <v>yes</v>
      </c>
      <c r="H632" s="24">
        <v>125.18</v>
      </c>
    </row>
    <row r="633" spans="1:9">
      <c r="A633" s="8" t="s">
        <v>70</v>
      </c>
      <c r="B633" s="35" t="s">
        <v>14</v>
      </c>
      <c r="C633" s="49">
        <v>44131</v>
      </c>
      <c r="D633" s="51" t="s">
        <v>737</v>
      </c>
      <c r="E633" s="3">
        <f>2.5*110</f>
        <v>275</v>
      </c>
      <c r="F633" s="9" t="s">
        <v>74</v>
      </c>
      <c r="G633" s="9" t="str">
        <f>IF(IFERROR(VLOOKUP(D633,Payments!G:G,1,FALSE),"UNPAID")=D633,"yes","no")</f>
        <v>no</v>
      </c>
    </row>
    <row r="634" spans="1:9">
      <c r="A634" s="8" t="s">
        <v>70</v>
      </c>
      <c r="B634" s="35" t="s">
        <v>15</v>
      </c>
      <c r="C634" s="49">
        <v>44131</v>
      </c>
      <c r="D634" s="51" t="s">
        <v>738</v>
      </c>
      <c r="E634" s="3">
        <f>1*110</f>
        <v>110</v>
      </c>
      <c r="F634" s="9" t="s">
        <v>74</v>
      </c>
      <c r="G634" s="9" t="str">
        <f>IF(IFERROR(VLOOKUP(D634,Payments!G:G,1,FALSE),"UNPAID")=D634,"yes","no")</f>
        <v>yes</v>
      </c>
    </row>
    <row r="635" spans="1:9">
      <c r="A635" s="8" t="s">
        <v>70</v>
      </c>
      <c r="B635" s="34" t="s">
        <v>16</v>
      </c>
      <c r="C635" s="49">
        <v>44131</v>
      </c>
      <c r="D635" s="51" t="s">
        <v>739</v>
      </c>
      <c r="E635" s="3">
        <v>1809.15</v>
      </c>
      <c r="F635" s="9" t="s">
        <v>72</v>
      </c>
      <c r="G635" s="9" t="str">
        <f>IF(IFERROR(VLOOKUP(D635,Payments!G:G,1,FALSE),"UNPAID")=D635,"yes","no")</f>
        <v>yes</v>
      </c>
      <c r="I635" s="25" t="s">
        <v>449</v>
      </c>
    </row>
    <row r="636" spans="1:9">
      <c r="A636" s="8" t="s">
        <v>17</v>
      </c>
      <c r="B636" s="34" t="s">
        <v>18</v>
      </c>
      <c r="C636" s="49">
        <v>44116</v>
      </c>
      <c r="D636" s="51" t="s">
        <v>740</v>
      </c>
      <c r="E636" s="3">
        <v>50104.66</v>
      </c>
      <c r="F636" s="9" t="s">
        <v>72</v>
      </c>
      <c r="G636" s="9" t="str">
        <f>IF(IFERROR(VLOOKUP(D636,Payments!G:G,1,FALSE),"UNPAID")=D636,"yes","no")</f>
        <v>yes</v>
      </c>
      <c r="H636" s="24">
        <v>3434.41</v>
      </c>
    </row>
    <row r="637" spans="1:9">
      <c r="A637" s="8" t="s">
        <v>17</v>
      </c>
      <c r="B637" s="34" t="s">
        <v>18</v>
      </c>
      <c r="C637" s="49">
        <v>44116</v>
      </c>
      <c r="D637" s="51" t="s">
        <v>741</v>
      </c>
      <c r="E637" s="3">
        <f>274.5*125</f>
        <v>34312.5</v>
      </c>
      <c r="F637" s="9" t="s">
        <v>74</v>
      </c>
      <c r="G637" s="9" t="str">
        <f>IF(IFERROR(VLOOKUP(D637,Payments!G:G,1,FALSE),"UNPAID")=D637,"yes","no")</f>
        <v>no</v>
      </c>
    </row>
    <row r="638" spans="1:9">
      <c r="A638" s="8" t="s">
        <v>17</v>
      </c>
      <c r="B638" s="34" t="s">
        <v>18</v>
      </c>
      <c r="C638" s="49">
        <v>44131</v>
      </c>
      <c r="D638" s="51" t="s">
        <v>742</v>
      </c>
      <c r="E638" s="3">
        <v>53940.7</v>
      </c>
      <c r="F638" s="9" t="s">
        <v>72</v>
      </c>
      <c r="G638" s="9" t="str">
        <f>IF(IFERROR(VLOOKUP(D638,Payments!G:G,1,FALSE),"UNPAID")=D638,"yes","no")</f>
        <v>yes</v>
      </c>
      <c r="H638" s="24">
        <v>4993.5200000000004</v>
      </c>
    </row>
    <row r="639" spans="1:9">
      <c r="A639" s="8" t="s">
        <v>17</v>
      </c>
      <c r="B639" s="35" t="s">
        <v>19</v>
      </c>
      <c r="C639" s="49">
        <v>44116</v>
      </c>
      <c r="D639" s="51" t="s">
        <v>743</v>
      </c>
      <c r="E639" s="3">
        <v>60588.97</v>
      </c>
      <c r="F639" s="9" t="s">
        <v>72</v>
      </c>
      <c r="G639" s="9" t="str">
        <f>IF(IFERROR(VLOOKUP(D639,Payments!G:G,1,FALSE),"UNPAID")=D639,"yes","no")</f>
        <v>yes</v>
      </c>
      <c r="H639" s="24">
        <v>3104.75</v>
      </c>
    </row>
    <row r="640" spans="1:9">
      <c r="A640" s="8" t="s">
        <v>17</v>
      </c>
      <c r="B640" s="35" t="s">
        <v>19</v>
      </c>
      <c r="C640" s="49">
        <v>44116</v>
      </c>
      <c r="D640" s="51" t="s">
        <v>744</v>
      </c>
      <c r="E640" s="3">
        <f>103*125</f>
        <v>12875</v>
      </c>
      <c r="F640" s="9" t="s">
        <v>74</v>
      </c>
      <c r="G640" s="9" t="str">
        <f>IF(IFERROR(VLOOKUP(D640,Payments!G:G,1,FALSE),"UNPAID")=D640,"yes","no")</f>
        <v>no</v>
      </c>
    </row>
    <row r="641" spans="1:9">
      <c r="A641" s="8" t="s">
        <v>17</v>
      </c>
      <c r="B641" s="35" t="s">
        <v>19</v>
      </c>
      <c r="C641" s="49">
        <v>44131</v>
      </c>
      <c r="D641" s="51" t="s">
        <v>745</v>
      </c>
      <c r="E641" s="3">
        <v>49494.58</v>
      </c>
      <c r="F641" s="9" t="s">
        <v>72</v>
      </c>
      <c r="G641" s="9" t="str">
        <f>IF(IFERROR(VLOOKUP(D641,Payments!G:G,1,FALSE),"UNPAID")=D641,"yes","no")</f>
        <v>yes</v>
      </c>
      <c r="H641" s="24">
        <v>2558.19</v>
      </c>
    </row>
    <row r="642" spans="1:9">
      <c r="A642" s="8" t="s">
        <v>17</v>
      </c>
      <c r="B642" s="35" t="s">
        <v>20</v>
      </c>
      <c r="C642" s="49">
        <v>44131</v>
      </c>
      <c r="D642" s="51" t="s">
        <v>746</v>
      </c>
      <c r="E642" s="3">
        <f>11.5*125</f>
        <v>1437.5</v>
      </c>
      <c r="F642" s="9" t="s">
        <v>74</v>
      </c>
      <c r="G642" s="9" t="str">
        <f>IF(IFERROR(VLOOKUP(D642,Payments!G:G,1,FALSE),"UNPAID")=D642,"yes","no")</f>
        <v>no</v>
      </c>
    </row>
    <row r="643" spans="1:9">
      <c r="A643" s="8" t="s">
        <v>17</v>
      </c>
      <c r="B643" s="35" t="s">
        <v>21</v>
      </c>
      <c r="C643" s="49">
        <v>44116</v>
      </c>
      <c r="D643" s="51" t="s">
        <v>747</v>
      </c>
      <c r="E643" s="3">
        <v>27127.96</v>
      </c>
      <c r="F643" s="9" t="s">
        <v>72</v>
      </c>
      <c r="G643" s="9" t="str">
        <f>IF(IFERROR(VLOOKUP(D643,Payments!G:G,1,FALSE),"UNPAID")=D643,"yes","no")</f>
        <v>yes</v>
      </c>
      <c r="H643" s="24">
        <v>1857.72</v>
      </c>
    </row>
    <row r="644" spans="1:9">
      <c r="A644" s="8" t="s">
        <v>17</v>
      </c>
      <c r="B644" s="35" t="s">
        <v>21</v>
      </c>
      <c r="C644" s="49">
        <v>44116</v>
      </c>
      <c r="D644" s="51" t="s">
        <v>748</v>
      </c>
      <c r="E644" s="3">
        <f>30.25*125</f>
        <v>3781.25</v>
      </c>
      <c r="F644" s="9" t="s">
        <v>74</v>
      </c>
      <c r="G644" s="9" t="str">
        <f>IF(IFERROR(VLOOKUP(D644,Payments!G:G,1,FALSE),"UNPAID")=D644,"yes","no")</f>
        <v>no</v>
      </c>
    </row>
    <row r="645" spans="1:9">
      <c r="A645" s="8" t="s">
        <v>17</v>
      </c>
      <c r="B645" s="35" t="s">
        <v>21</v>
      </c>
      <c r="C645" s="49">
        <v>44131</v>
      </c>
      <c r="D645" s="51" t="s">
        <v>749</v>
      </c>
      <c r="E645" s="3">
        <v>22913.5</v>
      </c>
      <c r="F645" s="9" t="s">
        <v>72</v>
      </c>
      <c r="G645" s="9" t="str">
        <f>IF(IFERROR(VLOOKUP(D645,Payments!G:G,1,FALSE),"UNPAID")=D645,"yes","no")</f>
        <v>yes</v>
      </c>
      <c r="H645" s="24">
        <v>2087.86</v>
      </c>
    </row>
    <row r="646" spans="1:9">
      <c r="A646" s="8" t="s">
        <v>17</v>
      </c>
      <c r="B646" s="35" t="s">
        <v>22</v>
      </c>
      <c r="C646" s="49">
        <v>44131</v>
      </c>
      <c r="D646" s="51" t="s">
        <v>750</v>
      </c>
      <c r="E646" s="3">
        <v>7422.32</v>
      </c>
      <c r="F646" s="9" t="s">
        <v>72</v>
      </c>
      <c r="G646" s="9" t="str">
        <f>IF(IFERROR(VLOOKUP(D646,Payments!G:G,1,FALSE),"UNPAID")=D646,"yes","no")</f>
        <v>no</v>
      </c>
    </row>
    <row r="647" spans="1:9">
      <c r="A647" s="8" t="s">
        <v>17</v>
      </c>
      <c r="B647" s="35" t="s">
        <v>22</v>
      </c>
      <c r="C647" s="49">
        <v>44131</v>
      </c>
      <c r="D647" s="51" t="s">
        <v>751</v>
      </c>
      <c r="E647" s="3">
        <f>245.75*125</f>
        <v>30718.75</v>
      </c>
      <c r="F647" s="9" t="s">
        <v>74</v>
      </c>
      <c r="G647" s="9" t="str">
        <f>IF(IFERROR(VLOOKUP(D647,Payments!G:G,1,FALSE),"UNPAID")=D647,"yes","no")</f>
        <v>yes</v>
      </c>
    </row>
    <row r="648" spans="1:9">
      <c r="A648" s="8" t="s">
        <v>17</v>
      </c>
      <c r="B648" s="35" t="s">
        <v>22</v>
      </c>
      <c r="C648" s="49">
        <v>44131</v>
      </c>
      <c r="D648" s="51" t="s">
        <v>752</v>
      </c>
      <c r="E648" s="3">
        <v>5028</v>
      </c>
      <c r="F648" s="9" t="s">
        <v>327</v>
      </c>
      <c r="G648" s="9" t="str">
        <f>IF(IFERROR(VLOOKUP(D648,Payments!G:G,1,FALSE),"UNPAID")=D648,"yes","no")</f>
        <v>no</v>
      </c>
    </row>
    <row r="649" spans="1:9">
      <c r="A649" s="8" t="s">
        <v>17</v>
      </c>
      <c r="B649" s="35" t="s">
        <v>23</v>
      </c>
      <c r="C649" s="49">
        <v>44131</v>
      </c>
      <c r="D649" s="51" t="s">
        <v>753</v>
      </c>
      <c r="E649" s="3">
        <v>6816.17</v>
      </c>
      <c r="F649" s="9" t="s">
        <v>72</v>
      </c>
      <c r="G649" s="9" t="str">
        <f>IF(IFERROR(VLOOKUP(D649,Payments!G:G,1,FALSE),"UNPAID")=D649,"yes","no")</f>
        <v>no</v>
      </c>
    </row>
    <row r="650" spans="1:9">
      <c r="A650" s="8" t="s">
        <v>17</v>
      </c>
      <c r="B650" s="35" t="s">
        <v>23</v>
      </c>
      <c r="C650" s="49">
        <v>44131</v>
      </c>
      <c r="D650" s="51" t="s">
        <v>754</v>
      </c>
      <c r="E650" s="3">
        <v>4420.8</v>
      </c>
      <c r="F650" s="9" t="s">
        <v>327</v>
      </c>
      <c r="G650" s="9" t="str">
        <f>IF(IFERROR(VLOOKUP(D650,Payments!G:G,1,FALSE),"UNPAID")=D650,"yes","no")</f>
        <v>no</v>
      </c>
    </row>
    <row r="651" spans="1:9">
      <c r="A651" s="8" t="s">
        <v>17</v>
      </c>
      <c r="B651" s="35" t="s">
        <v>24</v>
      </c>
      <c r="C651" s="49">
        <v>44131</v>
      </c>
      <c r="D651" s="51" t="s">
        <v>755</v>
      </c>
      <c r="E651" s="3">
        <f>2.5*125</f>
        <v>312.5</v>
      </c>
      <c r="F651" s="9" t="s">
        <v>74</v>
      </c>
      <c r="G651" s="9" t="str">
        <f>IF(IFERROR(VLOOKUP(D651,Payments!G:G,1,FALSE),"UNPAID")=D651,"yes","no")</f>
        <v>yes</v>
      </c>
    </row>
    <row r="652" spans="1:9">
      <c r="A652" s="8" t="s">
        <v>17</v>
      </c>
      <c r="B652" s="35" t="s">
        <v>25</v>
      </c>
      <c r="C652" s="49">
        <v>44131</v>
      </c>
      <c r="D652" s="51" t="s">
        <v>756</v>
      </c>
      <c r="E652" s="3">
        <f>1.75*125</f>
        <v>218.75</v>
      </c>
      <c r="F652" s="9" t="s">
        <v>74</v>
      </c>
      <c r="G652" s="9" t="str">
        <f>IF(IFERROR(VLOOKUP(D652,Payments!G:G,1,FALSE),"UNPAID")=D652,"yes","no")</f>
        <v>yes</v>
      </c>
    </row>
    <row r="653" spans="1:9">
      <c r="B653" s="35" t="s">
        <v>31</v>
      </c>
      <c r="C653" s="49">
        <v>44131</v>
      </c>
      <c r="D653" s="51" t="s">
        <v>757</v>
      </c>
      <c r="E653" s="3">
        <v>5396.52</v>
      </c>
      <c r="F653" s="9" t="s">
        <v>72</v>
      </c>
      <c r="G653" s="9" t="str">
        <f>IF(IFERROR(VLOOKUP(D653,Payments!G:G,1,FALSE),"UNPAID")=D653,"yes","no")</f>
        <v>yes</v>
      </c>
      <c r="H653" s="24">
        <v>1472.44</v>
      </c>
    </row>
    <row r="654" spans="1:9">
      <c r="B654" s="35" t="s">
        <v>31</v>
      </c>
      <c r="C654" s="49">
        <v>44131</v>
      </c>
      <c r="D654" s="51" t="s">
        <v>758</v>
      </c>
      <c r="E654" s="3">
        <f>3.75*110</f>
        <v>412.5</v>
      </c>
      <c r="F654" s="9" t="s">
        <v>74</v>
      </c>
      <c r="G654" s="9" t="str">
        <f>IF(IFERROR(VLOOKUP(D654,Payments!G:G,1,FALSE),"UNPAID")=D654,"yes","no")</f>
        <v>yes</v>
      </c>
    </row>
    <row r="655" spans="1:9">
      <c r="B655" s="22" t="s">
        <v>31</v>
      </c>
      <c r="C655" s="49">
        <v>44131</v>
      </c>
      <c r="D655" s="51" t="s">
        <v>759</v>
      </c>
      <c r="E655" s="3">
        <v>94.65</v>
      </c>
      <c r="F655" s="9" t="s">
        <v>235</v>
      </c>
      <c r="G655" s="9" t="str">
        <f>IF(IFERROR(VLOOKUP(D655,Payments!G:G,1,FALSE),"UNPAID")=D655,"yes","no")</f>
        <v>no</v>
      </c>
      <c r="H655" s="52"/>
      <c r="I655" s="31" t="s">
        <v>760</v>
      </c>
    </row>
    <row r="656" spans="1:9">
      <c r="B656" s="35" t="s">
        <v>32</v>
      </c>
      <c r="C656" s="49">
        <v>44131</v>
      </c>
      <c r="D656" s="51" t="s">
        <v>761</v>
      </c>
      <c r="E656" s="3">
        <v>1997.6</v>
      </c>
      <c r="F656" s="9" t="s">
        <v>72</v>
      </c>
      <c r="G656" s="9" t="str">
        <f>IF(IFERROR(VLOOKUP(D656,Payments!G:G,1,FALSE),"UNPAID")=D656,"yes","no")</f>
        <v>yes</v>
      </c>
      <c r="H656" s="24">
        <v>37.03</v>
      </c>
    </row>
    <row r="657" spans="2:9">
      <c r="B657" s="34" t="s">
        <v>119</v>
      </c>
      <c r="C657" s="49">
        <v>44116</v>
      </c>
      <c r="D657" s="51" t="s">
        <v>762</v>
      </c>
      <c r="E657" s="3">
        <v>14094.35</v>
      </c>
      <c r="F657" s="9" t="s">
        <v>72</v>
      </c>
      <c r="G657" s="9" t="str">
        <f>IF(IFERROR(VLOOKUP(D657,Payments!G:G,1,FALSE),"UNPAID")=D657,"yes","no")</f>
        <v>yes</v>
      </c>
      <c r="H657" s="24">
        <v>2748</v>
      </c>
    </row>
    <row r="658" spans="2:9">
      <c r="B658" s="34" t="s">
        <v>119</v>
      </c>
      <c r="C658" s="49">
        <v>44116</v>
      </c>
      <c r="D658" s="51" t="s">
        <v>763</v>
      </c>
      <c r="E658" s="3">
        <v>24635.25</v>
      </c>
      <c r="F658" s="9" t="s">
        <v>72</v>
      </c>
      <c r="G658" s="9" t="str">
        <f>IF(IFERROR(VLOOKUP(D658,Payments!G:G,1,FALSE),"UNPAID")=D658,"yes","no")</f>
        <v>yes</v>
      </c>
      <c r="H658" s="24">
        <v>2152.15</v>
      </c>
      <c r="I658" s="25"/>
    </row>
    <row r="659" spans="2:9">
      <c r="B659" s="35" t="s">
        <v>37</v>
      </c>
      <c r="C659" s="49">
        <v>44131</v>
      </c>
      <c r="D659" s="51" t="s">
        <v>764</v>
      </c>
      <c r="E659" s="3">
        <v>46094.29</v>
      </c>
      <c r="F659" s="9" t="s">
        <v>72</v>
      </c>
      <c r="G659" s="9" t="str">
        <f>IF(IFERROR(VLOOKUP(D659,Payments!G:G,1,FALSE),"UNPAID")=D659,"yes","no")</f>
        <v>yes</v>
      </c>
      <c r="H659" s="24">
        <v>5041.66</v>
      </c>
      <c r="I659" s="27" t="s">
        <v>765</v>
      </c>
    </row>
    <row r="660" spans="2:9">
      <c r="B660" s="35" t="s">
        <v>37</v>
      </c>
      <c r="C660" s="49">
        <v>44131</v>
      </c>
      <c r="D660" s="51" t="s">
        <v>766</v>
      </c>
      <c r="E660" s="3">
        <f>75*150</f>
        <v>11250</v>
      </c>
      <c r="F660" s="9" t="s">
        <v>74</v>
      </c>
      <c r="G660" s="9" t="str">
        <f>IF(IFERROR(VLOOKUP(D660,Payments!G:G,1,FALSE),"UNPAID")=D660,"yes","no")</f>
        <v>yes</v>
      </c>
    </row>
    <row r="661" spans="2:9">
      <c r="B661" s="35" t="s">
        <v>39</v>
      </c>
      <c r="C661" s="49">
        <v>44131</v>
      </c>
      <c r="D661" s="51" t="s">
        <v>767</v>
      </c>
      <c r="E661" s="3">
        <v>6819</v>
      </c>
      <c r="F661" s="9" t="s">
        <v>72</v>
      </c>
      <c r="G661" s="9" t="str">
        <f>IF(IFERROR(VLOOKUP(D661,Payments!G:G,1,FALSE),"UNPAID")=D661,"yes","no")</f>
        <v>yes</v>
      </c>
      <c r="H661" s="24">
        <v>373</v>
      </c>
    </row>
    <row r="662" spans="2:9">
      <c r="B662" s="35" t="s">
        <v>39</v>
      </c>
      <c r="C662" s="49">
        <v>44131</v>
      </c>
      <c r="D662" s="51" t="s">
        <v>768</v>
      </c>
      <c r="E662" s="3">
        <v>500</v>
      </c>
      <c r="F662" s="9" t="s">
        <v>74</v>
      </c>
      <c r="G662" s="9" t="str">
        <f>IF(IFERROR(VLOOKUP(D662,Payments!G:G,1,FALSE),"UNPAID")=D662,"yes","no")</f>
        <v>yes</v>
      </c>
    </row>
    <row r="663" spans="2:9">
      <c r="B663" s="35" t="s">
        <v>40</v>
      </c>
      <c r="C663" s="49">
        <v>44131</v>
      </c>
      <c r="D663" s="51" t="s">
        <v>769</v>
      </c>
      <c r="E663" s="3">
        <v>1594.14</v>
      </c>
      <c r="F663" s="9" t="s">
        <v>72</v>
      </c>
      <c r="G663" s="9" t="str">
        <f>IF(IFERROR(VLOOKUP(D663,Payments!G:G,1,FALSE),"UNPAID")=D663,"yes","no")</f>
        <v>yes</v>
      </c>
    </row>
    <row r="664" spans="2:9">
      <c r="B664" s="35" t="s">
        <v>41</v>
      </c>
      <c r="C664" s="49">
        <v>44131</v>
      </c>
      <c r="D664" s="51" t="s">
        <v>770</v>
      </c>
      <c r="E664" s="3">
        <v>4436</v>
      </c>
      <c r="F664" s="9" t="s">
        <v>72</v>
      </c>
      <c r="G664" s="9" t="str">
        <f>IF(IFERROR(VLOOKUP(D664,Payments!G:G,1,FALSE),"UNPAID")=D664,"yes","no")</f>
        <v>yes</v>
      </c>
    </row>
    <row r="665" spans="2:9">
      <c r="B665" s="35" t="s">
        <v>41</v>
      </c>
      <c r="C665" s="49">
        <v>44131</v>
      </c>
      <c r="D665" s="51" t="s">
        <v>771</v>
      </c>
      <c r="E665" s="3">
        <v>500</v>
      </c>
      <c r="F665" s="9" t="s">
        <v>74</v>
      </c>
      <c r="G665" s="9" t="str">
        <f>IF(IFERROR(VLOOKUP(D665,Payments!G:G,1,FALSE),"UNPAID")=D665,"yes","no")</f>
        <v>no</v>
      </c>
    </row>
    <row r="666" spans="2:9">
      <c r="B666" s="35" t="s">
        <v>131</v>
      </c>
      <c r="C666" s="49">
        <v>44131</v>
      </c>
      <c r="D666" s="51" t="s">
        <v>772</v>
      </c>
      <c r="E666" s="3">
        <v>19685.080000000002</v>
      </c>
      <c r="F666" s="9" t="s">
        <v>72</v>
      </c>
      <c r="G666" s="9" t="str">
        <f>IF(IFERROR(VLOOKUP(D666,Payments!G:G,1,FALSE),"UNPAID")=D666,"yes","no")</f>
        <v>yes</v>
      </c>
      <c r="H666" s="24">
        <v>763.82</v>
      </c>
    </row>
    <row r="667" spans="2:9">
      <c r="B667" s="35" t="s">
        <v>131</v>
      </c>
      <c r="C667" s="49">
        <v>44131</v>
      </c>
      <c r="D667" s="51" t="s">
        <v>773</v>
      </c>
      <c r="E667" s="3">
        <v>20833.330000000002</v>
      </c>
      <c r="F667" s="9" t="s">
        <v>74</v>
      </c>
      <c r="G667" s="9" t="str">
        <f>IF(IFERROR(VLOOKUP(D667,Payments!G:G,1,FALSE),"UNPAID")=D667,"yes","no")</f>
        <v>yes</v>
      </c>
    </row>
    <row r="668" spans="2:9">
      <c r="B668" s="35" t="s">
        <v>49</v>
      </c>
      <c r="C668" s="49">
        <v>44131</v>
      </c>
      <c r="D668" s="51" t="s">
        <v>774</v>
      </c>
      <c r="E668" s="3">
        <v>2343.9</v>
      </c>
      <c r="F668" s="9" t="s">
        <v>204</v>
      </c>
      <c r="G668" s="9" t="str">
        <f>IF(IFERROR(VLOOKUP(D668,Payments!G:G,1,FALSE),"UNPAID")=D668,"yes","no")</f>
        <v>no</v>
      </c>
    </row>
    <row r="669" spans="2:9">
      <c r="B669" s="35" t="s">
        <v>50</v>
      </c>
      <c r="C669" s="49">
        <v>44131</v>
      </c>
      <c r="D669" s="51" t="s">
        <v>775</v>
      </c>
      <c r="E669" s="3">
        <v>650</v>
      </c>
      <c r="F669" s="9" t="s">
        <v>204</v>
      </c>
      <c r="G669" s="9" t="str">
        <f>IF(IFERROR(VLOOKUP(D669,Payments!G:G,1,FALSE),"UNPAID")=D669,"yes","no")</f>
        <v>yes</v>
      </c>
    </row>
    <row r="670" spans="2:9">
      <c r="B670" s="35" t="s">
        <v>51</v>
      </c>
      <c r="C670" s="49">
        <v>44131</v>
      </c>
      <c r="D670" s="51" t="s">
        <v>776</v>
      </c>
      <c r="E670" s="3">
        <v>98</v>
      </c>
      <c r="F670" s="9" t="s">
        <v>204</v>
      </c>
      <c r="G670" s="9" t="str">
        <f>IF(IFERROR(VLOOKUP(D670,Payments!G:G,1,FALSE),"UNPAID")=D670,"yes","no")</f>
        <v>no</v>
      </c>
    </row>
    <row r="671" spans="2:9">
      <c r="B671" s="34" t="s">
        <v>52</v>
      </c>
      <c r="C671" s="49">
        <v>44131</v>
      </c>
      <c r="D671" s="51" t="s">
        <v>777</v>
      </c>
      <c r="E671" s="3">
        <v>943.95</v>
      </c>
      <c r="F671" s="9" t="s">
        <v>204</v>
      </c>
      <c r="G671" s="9" t="str">
        <f>IF(IFERROR(VLOOKUP(D671,Payments!G:G,1,FALSE),"UNPAID")=D671,"yes","no")</f>
        <v>yes</v>
      </c>
    </row>
    <row r="672" spans="2:9">
      <c r="B672" s="35" t="s">
        <v>53</v>
      </c>
      <c r="C672" s="49">
        <v>44131</v>
      </c>
      <c r="D672" s="51" t="s">
        <v>778</v>
      </c>
      <c r="E672" s="3">
        <v>910</v>
      </c>
      <c r="F672" s="9" t="s">
        <v>204</v>
      </c>
      <c r="G672" s="9" t="str">
        <f>IF(IFERROR(VLOOKUP(D672,Payments!G:G,1,FALSE),"UNPAID")=D672,"yes","no")</f>
        <v>yes</v>
      </c>
    </row>
    <row r="673" spans="1:8">
      <c r="B673" s="35" t="s">
        <v>54</v>
      </c>
      <c r="C673" s="49">
        <v>44131</v>
      </c>
      <c r="D673" s="51" t="s">
        <v>779</v>
      </c>
      <c r="E673" s="3">
        <v>280</v>
      </c>
      <c r="F673" s="9" t="s">
        <v>204</v>
      </c>
      <c r="G673" s="9" t="str">
        <f>IF(IFERROR(VLOOKUP(D673,Payments!G:G,1,FALSE),"UNPAID")=D673,"yes","no")</f>
        <v>yes</v>
      </c>
    </row>
    <row r="674" spans="1:8">
      <c r="B674" s="35" t="s">
        <v>567</v>
      </c>
      <c r="C674" s="49">
        <v>44131</v>
      </c>
      <c r="D674" s="51" t="s">
        <v>780</v>
      </c>
      <c r="E674" s="3">
        <v>629.36</v>
      </c>
      <c r="F674" s="9" t="s">
        <v>204</v>
      </c>
      <c r="G674" s="9" t="str">
        <f>IF(IFERROR(VLOOKUP(D674,Payments!G:G,1,FALSE),"UNPAID")=D674,"yes","no")</f>
        <v>yes</v>
      </c>
    </row>
    <row r="675" spans="1:8">
      <c r="B675" s="34" t="s">
        <v>59</v>
      </c>
      <c r="C675" s="49">
        <v>44131</v>
      </c>
      <c r="D675" s="51" t="s">
        <v>781</v>
      </c>
      <c r="E675" s="3">
        <v>834.45</v>
      </c>
      <c r="F675" s="9" t="s">
        <v>204</v>
      </c>
      <c r="G675" s="9" t="str">
        <f>IF(IFERROR(VLOOKUP(D675,Payments!G:G,1,FALSE),"UNPAID")=D675,"yes","no")</f>
        <v>yes</v>
      </c>
    </row>
    <row r="676" spans="1:8">
      <c r="B676" s="35" t="s">
        <v>60</v>
      </c>
      <c r="C676" s="49">
        <v>44131</v>
      </c>
      <c r="D676" s="51" t="s">
        <v>782</v>
      </c>
      <c r="E676" s="3">
        <v>672</v>
      </c>
      <c r="F676" s="9" t="s">
        <v>204</v>
      </c>
      <c r="G676" s="9" t="str">
        <f>IF(IFERROR(VLOOKUP(D676,Payments!G:G,1,FALSE),"UNPAID")=D676,"yes","no")</f>
        <v>yes</v>
      </c>
    </row>
    <row r="677" spans="1:8">
      <c r="B677" s="34" t="s">
        <v>62</v>
      </c>
      <c r="C677" s="49">
        <v>44131</v>
      </c>
      <c r="D677" s="51" t="s">
        <v>783</v>
      </c>
      <c r="E677" s="3">
        <v>60.05</v>
      </c>
      <c r="F677" s="9" t="s">
        <v>204</v>
      </c>
      <c r="G677" s="9" t="str">
        <f>IF(IFERROR(VLOOKUP(D677,Payments!G:G,1,FALSE),"UNPAID")=D677,"yes","no")</f>
        <v>no</v>
      </c>
    </row>
    <row r="678" spans="1:8">
      <c r="B678" s="35" t="s">
        <v>63</v>
      </c>
      <c r="C678" s="49">
        <v>44131</v>
      </c>
      <c r="D678" s="51" t="s">
        <v>784</v>
      </c>
      <c r="E678" s="3">
        <v>385</v>
      </c>
      <c r="F678" s="9" t="s">
        <v>204</v>
      </c>
      <c r="G678" s="9" t="str">
        <f>IF(IFERROR(VLOOKUP(D678,Payments!G:G,1,FALSE),"UNPAID")=D678,"yes","no")</f>
        <v>yes</v>
      </c>
    </row>
    <row r="679" spans="1:8">
      <c r="A679" s="8" t="s">
        <v>70</v>
      </c>
      <c r="B679" s="34" t="s">
        <v>6</v>
      </c>
      <c r="C679" s="49">
        <v>44147</v>
      </c>
      <c r="D679" s="11" t="s">
        <v>785</v>
      </c>
      <c r="E679" s="3">
        <v>36861.26</v>
      </c>
      <c r="F679" s="9" t="s">
        <v>77</v>
      </c>
      <c r="G679" s="9" t="str">
        <f>IF(IFERROR(VLOOKUP(D679,Payments!G:G,1,FALSE),"UNPAID")=D679,"yes","no")</f>
        <v>yes</v>
      </c>
      <c r="H679" s="24">
        <v>2965.88</v>
      </c>
    </row>
    <row r="680" spans="1:8">
      <c r="A680" s="8" t="s">
        <v>70</v>
      </c>
      <c r="B680" s="34" t="s">
        <v>6</v>
      </c>
      <c r="C680" s="49">
        <v>44147</v>
      </c>
      <c r="D680" s="11" t="s">
        <v>786</v>
      </c>
      <c r="E680" s="3">
        <f>110.5*110</f>
        <v>12155</v>
      </c>
      <c r="F680" s="9" t="s">
        <v>74</v>
      </c>
      <c r="G680" s="9" t="str">
        <f>IF(IFERROR(VLOOKUP(D680,Payments!G:G,1,FALSE),"UNPAID")=D680,"yes","no")</f>
        <v>no</v>
      </c>
    </row>
    <row r="681" spans="1:8">
      <c r="A681" s="8" t="s">
        <v>70</v>
      </c>
      <c r="B681" s="34" t="s">
        <v>6</v>
      </c>
      <c r="C681" s="49">
        <v>44162</v>
      </c>
      <c r="D681" s="11" t="s">
        <v>787</v>
      </c>
      <c r="E681" s="3">
        <v>35314.15</v>
      </c>
      <c r="F681" s="9" t="s">
        <v>72</v>
      </c>
      <c r="G681" s="9" t="str">
        <f>IF(IFERROR(VLOOKUP(D681,Payments!G:G,1,FALSE),"UNPAID")=D681,"yes","no")</f>
        <v>yes</v>
      </c>
      <c r="H681" s="24">
        <v>4609.99</v>
      </c>
    </row>
    <row r="682" spans="1:8">
      <c r="A682" s="8" t="s">
        <v>70</v>
      </c>
      <c r="B682" s="34" t="s">
        <v>7</v>
      </c>
      <c r="C682" s="49">
        <v>44147</v>
      </c>
      <c r="D682" s="11" t="s">
        <v>788</v>
      </c>
      <c r="E682" s="3">
        <v>23137.599999999999</v>
      </c>
      <c r="F682" s="9" t="s">
        <v>72</v>
      </c>
      <c r="G682" s="9" t="str">
        <f>IF(IFERROR(VLOOKUP(D682,Payments!G:G,1,FALSE),"UNPAID")=D682,"yes","no")</f>
        <v>yes</v>
      </c>
      <c r="H682" s="24">
        <v>2024.38</v>
      </c>
    </row>
    <row r="683" spans="1:8">
      <c r="A683" s="8" t="s">
        <v>70</v>
      </c>
      <c r="B683" s="34" t="s">
        <v>7</v>
      </c>
      <c r="C683" s="49">
        <v>44147</v>
      </c>
      <c r="D683" s="11" t="s">
        <v>789</v>
      </c>
      <c r="E683" s="3">
        <f>78.75*110</f>
        <v>8662.5</v>
      </c>
      <c r="F683" s="9" t="s">
        <v>790</v>
      </c>
      <c r="G683" s="9" t="str">
        <f>IF(IFERROR(VLOOKUP(D683,Payments!G:G,1,FALSE),"UNPAID")=D683,"yes","no")</f>
        <v>no</v>
      </c>
    </row>
    <row r="684" spans="1:8">
      <c r="A684" s="8" t="s">
        <v>70</v>
      </c>
      <c r="B684" s="34" t="s">
        <v>7</v>
      </c>
      <c r="C684" s="49">
        <v>44162</v>
      </c>
      <c r="D684" s="11" t="s">
        <v>791</v>
      </c>
      <c r="E684" s="3">
        <v>15701.17</v>
      </c>
      <c r="F684" s="9" t="s">
        <v>72</v>
      </c>
      <c r="G684" s="9" t="str">
        <f>IF(IFERROR(VLOOKUP(D684,Payments!G:G,1,FALSE),"UNPAID")=D684,"yes","no")</f>
        <v>yes</v>
      </c>
      <c r="H684" s="24">
        <v>2056.06</v>
      </c>
    </row>
    <row r="685" spans="1:8">
      <c r="A685" s="8" t="s">
        <v>70</v>
      </c>
      <c r="B685" s="35" t="s">
        <v>8</v>
      </c>
      <c r="C685" s="49">
        <v>44162</v>
      </c>
      <c r="D685" s="12" t="s">
        <v>792</v>
      </c>
      <c r="E685" s="3">
        <v>8817.69</v>
      </c>
      <c r="F685" s="9" t="s">
        <v>77</v>
      </c>
      <c r="G685" s="9" t="str">
        <f>IF(IFERROR(VLOOKUP(D685,Payments!G:G,1,FALSE),"UNPAID")=D685,"yes","no")</f>
        <v>yes</v>
      </c>
      <c r="H685" s="24">
        <v>313.60000000000002</v>
      </c>
    </row>
    <row r="686" spans="1:8">
      <c r="A686" s="8" t="s">
        <v>70</v>
      </c>
      <c r="B686" s="35" t="s">
        <v>8</v>
      </c>
      <c r="C686" s="49">
        <v>44162</v>
      </c>
      <c r="D686" s="12" t="s">
        <v>793</v>
      </c>
      <c r="E686" s="3">
        <f>18.25*110</f>
        <v>2007.5</v>
      </c>
      <c r="F686" s="9" t="s">
        <v>74</v>
      </c>
      <c r="G686" s="9" t="str">
        <f>IF(IFERROR(VLOOKUP(D686,Payments!G:G,1,FALSE),"UNPAID")=D686,"yes","no")</f>
        <v>yes</v>
      </c>
    </row>
    <row r="687" spans="1:8">
      <c r="A687" s="8" t="s">
        <v>70</v>
      </c>
      <c r="B687" s="35" t="s">
        <v>9</v>
      </c>
      <c r="C687" s="49">
        <v>44162</v>
      </c>
      <c r="D687" s="12" t="s">
        <v>794</v>
      </c>
      <c r="E687" s="3">
        <v>3908.7</v>
      </c>
      <c r="F687" s="9" t="s">
        <v>77</v>
      </c>
      <c r="G687" s="9" t="str">
        <f>IF(IFERROR(VLOOKUP(D687,Payments!G:G,1,FALSE),"UNPAID")=D687,"yes","no")</f>
        <v>no</v>
      </c>
      <c r="H687" s="24">
        <v>1143.5999999999999</v>
      </c>
    </row>
    <row r="688" spans="1:8">
      <c r="A688" s="8" t="s">
        <v>70</v>
      </c>
      <c r="B688" s="35" t="s">
        <v>9</v>
      </c>
      <c r="C688" s="49">
        <v>44162</v>
      </c>
      <c r="D688" s="12" t="s">
        <v>795</v>
      </c>
      <c r="E688" s="3">
        <f>4.25*110</f>
        <v>467.5</v>
      </c>
      <c r="F688" s="9" t="s">
        <v>790</v>
      </c>
      <c r="G688" s="9" t="str">
        <f>IF(IFERROR(VLOOKUP(D688,Payments!G:G,1,FALSE),"UNPAID")=D688,"yes","no")</f>
        <v>no</v>
      </c>
    </row>
    <row r="689" spans="1:8">
      <c r="A689" s="8" t="s">
        <v>70</v>
      </c>
      <c r="B689" s="34" t="s">
        <v>10</v>
      </c>
      <c r="C689" s="49">
        <v>44162</v>
      </c>
      <c r="D689" s="50" t="s">
        <v>796</v>
      </c>
      <c r="E689" s="3">
        <v>1520.59</v>
      </c>
      <c r="F689" s="9" t="s">
        <v>77</v>
      </c>
      <c r="G689" s="9" t="str">
        <f>IF(IFERROR(VLOOKUP(D689,Payments!G:G,1,FALSE),"UNPAID")=D689,"yes","no")</f>
        <v>yes</v>
      </c>
      <c r="H689" s="24">
        <v>29.95</v>
      </c>
    </row>
    <row r="690" spans="1:8">
      <c r="A690" s="8" t="s">
        <v>70</v>
      </c>
      <c r="B690" s="34" t="s">
        <v>10</v>
      </c>
      <c r="C690" s="49">
        <v>44162</v>
      </c>
      <c r="D690" s="50" t="s">
        <v>797</v>
      </c>
      <c r="E690" s="3">
        <f>7*110</f>
        <v>770</v>
      </c>
      <c r="F690" s="9" t="s">
        <v>74</v>
      </c>
      <c r="G690" s="9" t="str">
        <f>IF(IFERROR(VLOOKUP(D690,Payments!G:G,1,FALSE),"UNPAID")=D690,"yes","no")</f>
        <v>yes</v>
      </c>
    </row>
    <row r="691" spans="1:8">
      <c r="A691" s="8" t="s">
        <v>70</v>
      </c>
      <c r="B691" s="34" t="s">
        <v>11</v>
      </c>
      <c r="C691" s="49">
        <v>44162</v>
      </c>
      <c r="D691" s="51" t="s">
        <v>798</v>
      </c>
      <c r="E691" s="3">
        <v>7210.56</v>
      </c>
      <c r="F691" s="9" t="s">
        <v>77</v>
      </c>
      <c r="G691" s="9" t="str">
        <f>IF(IFERROR(VLOOKUP(D691,Payments!G:G,1,FALSE),"UNPAID")=D691,"yes","no")</f>
        <v>yes</v>
      </c>
      <c r="H691" s="24">
        <v>106.07</v>
      </c>
    </row>
    <row r="692" spans="1:8">
      <c r="A692" s="8" t="s">
        <v>70</v>
      </c>
      <c r="B692" s="34" t="s">
        <v>11</v>
      </c>
      <c r="C692" s="49">
        <v>44162</v>
      </c>
      <c r="D692" s="51" t="s">
        <v>799</v>
      </c>
      <c r="E692" s="3">
        <f>10.5*110</f>
        <v>1155</v>
      </c>
      <c r="F692" s="9" t="s">
        <v>74</v>
      </c>
      <c r="G692" s="9" t="str">
        <f>IF(IFERROR(VLOOKUP(D692,Payments!G:G,1,FALSE),"UNPAID")=D692,"yes","no")</f>
        <v>no</v>
      </c>
    </row>
    <row r="693" spans="1:8">
      <c r="A693" s="8" t="s">
        <v>70</v>
      </c>
      <c r="B693" s="35" t="s">
        <v>12</v>
      </c>
      <c r="C693" s="49">
        <v>44162</v>
      </c>
      <c r="D693" s="51" t="s">
        <v>800</v>
      </c>
      <c r="E693" s="3">
        <v>504.51</v>
      </c>
      <c r="F693" s="9" t="s">
        <v>77</v>
      </c>
      <c r="G693" s="9" t="str">
        <f>IF(IFERROR(VLOOKUP(D693,Payments!G:G,1,FALSE),"UNPAID")=D693,"yes","no")</f>
        <v>no</v>
      </c>
    </row>
    <row r="694" spans="1:8">
      <c r="A694" s="8" t="s">
        <v>70</v>
      </c>
      <c r="B694" s="35" t="s">
        <v>12</v>
      </c>
      <c r="C694" s="49">
        <v>44162</v>
      </c>
      <c r="D694" s="51" t="s">
        <v>801</v>
      </c>
      <c r="E694" s="3">
        <f>6*110</f>
        <v>660</v>
      </c>
      <c r="F694" s="9" t="s">
        <v>790</v>
      </c>
      <c r="G694" s="9" t="str">
        <f>IF(IFERROR(VLOOKUP(D694,Payments!G:G,1,FALSE),"UNPAID")=D694,"yes","no")</f>
        <v>no</v>
      </c>
    </row>
    <row r="695" spans="1:8">
      <c r="A695" s="8" t="s">
        <v>70</v>
      </c>
      <c r="B695" s="35" t="s">
        <v>13</v>
      </c>
      <c r="C695" s="49">
        <v>44162</v>
      </c>
      <c r="D695" s="51" t="s">
        <v>802</v>
      </c>
      <c r="E695" s="3">
        <v>100</v>
      </c>
      <c r="F695" s="9" t="s">
        <v>790</v>
      </c>
      <c r="G695" s="9" t="str">
        <f>IF(IFERROR(VLOOKUP(D695,Payments!G:G,1,FALSE),"UNPAID")=D695,"yes","no")</f>
        <v>no</v>
      </c>
      <c r="H695" s="24">
        <v>50</v>
      </c>
    </row>
    <row r="696" spans="1:8">
      <c r="A696" s="8" t="s">
        <v>70</v>
      </c>
      <c r="B696" s="35" t="s">
        <v>14</v>
      </c>
      <c r="C696" s="49">
        <v>44162</v>
      </c>
      <c r="D696" s="51" t="s">
        <v>803</v>
      </c>
      <c r="E696" s="3">
        <v>1745.53</v>
      </c>
      <c r="F696" s="9" t="s">
        <v>77</v>
      </c>
      <c r="G696" s="9" t="str">
        <f>IF(IFERROR(VLOOKUP(D696,Payments!G:G,1,FALSE),"UNPAID")=D696,"yes","no")</f>
        <v>yes</v>
      </c>
      <c r="H696" s="24">
        <v>66.13</v>
      </c>
    </row>
    <row r="697" spans="1:8">
      <c r="A697" s="8" t="s">
        <v>70</v>
      </c>
      <c r="B697" s="35" t="s">
        <v>14</v>
      </c>
      <c r="C697" s="49">
        <v>44162</v>
      </c>
      <c r="D697" s="51" t="s">
        <v>804</v>
      </c>
      <c r="E697" s="3">
        <f>3*110</f>
        <v>330</v>
      </c>
      <c r="F697" s="9" t="s">
        <v>74</v>
      </c>
      <c r="G697" s="9" t="str">
        <f>IF(IFERROR(VLOOKUP(D697,Payments!G:G,1,FALSE),"UNPAID")=D697,"yes","no")</f>
        <v>no</v>
      </c>
    </row>
    <row r="698" spans="1:8">
      <c r="A698" s="8" t="s">
        <v>70</v>
      </c>
      <c r="B698" s="35" t="s">
        <v>15</v>
      </c>
      <c r="C698" s="49">
        <v>44162</v>
      </c>
      <c r="D698" s="51" t="s">
        <v>805</v>
      </c>
      <c r="E698" s="3">
        <f>2.25*110</f>
        <v>247.5</v>
      </c>
      <c r="F698" s="9" t="s">
        <v>74</v>
      </c>
      <c r="G698" s="9" t="str">
        <f>IF(IFERROR(VLOOKUP(D698,Payments!G:G,1,FALSE),"UNPAID")=D698,"yes","no")</f>
        <v>no</v>
      </c>
    </row>
    <row r="699" spans="1:8">
      <c r="A699" s="8" t="s">
        <v>70</v>
      </c>
      <c r="B699" s="34" t="s">
        <v>16</v>
      </c>
      <c r="C699" s="49">
        <v>44162</v>
      </c>
      <c r="D699" s="51" t="s">
        <v>806</v>
      </c>
      <c r="E699" s="3">
        <v>678.21</v>
      </c>
      <c r="F699" s="9" t="s">
        <v>72</v>
      </c>
      <c r="G699" s="9" t="str">
        <f>IF(IFERROR(VLOOKUP(D699,Payments!G:G,1,FALSE),"UNPAID")=D699,"yes","no")</f>
        <v>no</v>
      </c>
    </row>
    <row r="700" spans="1:8">
      <c r="A700" s="8" t="s">
        <v>17</v>
      </c>
      <c r="B700" s="34" t="s">
        <v>18</v>
      </c>
      <c r="C700" s="49">
        <v>44147</v>
      </c>
      <c r="D700" s="51" t="s">
        <v>807</v>
      </c>
      <c r="E700" s="3">
        <v>64875.199999999997</v>
      </c>
      <c r="F700" s="9" t="s">
        <v>72</v>
      </c>
      <c r="G700" s="9" t="str">
        <f>IF(IFERROR(VLOOKUP(D700,Payments!G:G,1,FALSE),"UNPAID")=D700,"yes","no")</f>
        <v>no</v>
      </c>
      <c r="H700" s="24">
        <v>6896.8</v>
      </c>
    </row>
    <row r="701" spans="1:8">
      <c r="A701" s="8" t="s">
        <v>17</v>
      </c>
      <c r="B701" s="34" t="s">
        <v>18</v>
      </c>
      <c r="C701" s="49">
        <v>44147</v>
      </c>
      <c r="D701" s="51" t="s">
        <v>808</v>
      </c>
      <c r="E701" s="3">
        <f>239.25*125</f>
        <v>29906.25</v>
      </c>
      <c r="F701" s="9" t="s">
        <v>74</v>
      </c>
      <c r="G701" s="9" t="str">
        <f>IF(IFERROR(VLOOKUP(D701,Payments!G:G,1,FALSE),"UNPAID")=D701,"yes","no")</f>
        <v>no</v>
      </c>
    </row>
    <row r="702" spans="1:8">
      <c r="A702" s="8" t="s">
        <v>17</v>
      </c>
      <c r="B702" s="34" t="s">
        <v>18</v>
      </c>
      <c r="C702" s="49">
        <v>44162</v>
      </c>
      <c r="D702" s="51" t="s">
        <v>809</v>
      </c>
      <c r="E702" s="3">
        <v>45372.36</v>
      </c>
      <c r="F702" s="9" t="s">
        <v>72</v>
      </c>
      <c r="G702" s="9" t="str">
        <f>IF(IFERROR(VLOOKUP(D702,Payments!G:G,1,FALSE),"UNPAID")=D702,"yes","no")</f>
        <v>no</v>
      </c>
      <c r="H702" s="24">
        <v>4863.9799999999996</v>
      </c>
    </row>
    <row r="703" spans="1:8">
      <c r="A703" s="8" t="s">
        <v>17</v>
      </c>
      <c r="B703" s="35" t="s">
        <v>19</v>
      </c>
      <c r="C703" s="49">
        <v>44147</v>
      </c>
      <c r="D703" s="51" t="s">
        <v>810</v>
      </c>
      <c r="E703" s="3">
        <v>47715.14</v>
      </c>
      <c r="F703" s="9" t="s">
        <v>72</v>
      </c>
      <c r="G703" s="9" t="str">
        <f>IF(IFERROR(VLOOKUP(D703,Payments!G:G,1,FALSE),"UNPAID")=D703,"yes","no")</f>
        <v>yes</v>
      </c>
      <c r="H703" s="24">
        <v>1879.61</v>
      </c>
    </row>
    <row r="704" spans="1:8">
      <c r="A704" s="8" t="s">
        <v>17</v>
      </c>
      <c r="B704" s="35" t="s">
        <v>19</v>
      </c>
      <c r="C704" s="49">
        <v>44147</v>
      </c>
      <c r="D704" s="51" t="s">
        <v>811</v>
      </c>
      <c r="E704" s="3">
        <f>109.25*125</f>
        <v>13656.25</v>
      </c>
      <c r="F704" s="9" t="s">
        <v>790</v>
      </c>
      <c r="G704" s="9" t="str">
        <f>IF(IFERROR(VLOOKUP(D704,Payments!G:G,1,FALSE),"UNPAID")=D704,"yes","no")</f>
        <v>no</v>
      </c>
    </row>
    <row r="705" spans="1:9">
      <c r="A705" s="8" t="s">
        <v>17</v>
      </c>
      <c r="B705" s="35" t="s">
        <v>19</v>
      </c>
      <c r="C705" s="49">
        <v>44162</v>
      </c>
      <c r="D705" s="51" t="s">
        <v>812</v>
      </c>
      <c r="E705" s="3">
        <v>49106.080000000002</v>
      </c>
      <c r="F705" s="9" t="s">
        <v>72</v>
      </c>
      <c r="G705" s="9" t="str">
        <f>IF(IFERROR(VLOOKUP(D705,Payments!G:G,1,FALSE),"UNPAID")=D705,"yes","no")</f>
        <v>no</v>
      </c>
      <c r="H705" s="24">
        <v>3091.31</v>
      </c>
    </row>
    <row r="706" spans="1:9">
      <c r="A706" s="8" t="s">
        <v>17</v>
      </c>
      <c r="B706" s="35" t="s">
        <v>20</v>
      </c>
      <c r="C706" s="49">
        <v>44162</v>
      </c>
      <c r="D706" s="51" t="s">
        <v>813</v>
      </c>
      <c r="E706" s="3">
        <f>12.75*125</f>
        <v>1593.75</v>
      </c>
      <c r="F706" s="9" t="s">
        <v>74</v>
      </c>
      <c r="G706" s="9" t="str">
        <f>IF(IFERROR(VLOOKUP(D706,Payments!G:G,1,FALSE),"UNPAID")=D706,"yes","no")</f>
        <v>no</v>
      </c>
    </row>
    <row r="707" spans="1:9">
      <c r="A707" s="8" t="s">
        <v>17</v>
      </c>
      <c r="B707" s="34" t="s">
        <v>814</v>
      </c>
      <c r="C707" s="49">
        <v>44147</v>
      </c>
      <c r="D707" s="51" t="s">
        <v>815</v>
      </c>
      <c r="E707" s="3">
        <v>23874.53</v>
      </c>
      <c r="F707" s="9" t="s">
        <v>72</v>
      </c>
      <c r="G707" s="9" t="str">
        <f>IF(IFERROR(VLOOKUP(D707,Payments!G:G,1,FALSE),"UNPAID")=D707,"yes","no")</f>
        <v>yes</v>
      </c>
      <c r="H707" s="24">
        <v>1480.94</v>
      </c>
    </row>
    <row r="708" spans="1:9">
      <c r="A708" s="8" t="s">
        <v>17</v>
      </c>
      <c r="B708" s="35" t="s">
        <v>21</v>
      </c>
      <c r="C708" s="49">
        <v>44147</v>
      </c>
      <c r="D708" s="51" t="s">
        <v>816</v>
      </c>
      <c r="E708" s="3">
        <f>53*125</f>
        <v>6625</v>
      </c>
      <c r="F708" s="9" t="s">
        <v>74</v>
      </c>
      <c r="G708" s="9" t="str">
        <f>IF(IFERROR(VLOOKUP(D708,Payments!G:G,1,FALSE),"UNPAID")=D708,"yes","no")</f>
        <v>no</v>
      </c>
    </row>
    <row r="709" spans="1:9">
      <c r="A709" s="8" t="s">
        <v>17</v>
      </c>
      <c r="B709" s="35" t="s">
        <v>21</v>
      </c>
      <c r="C709" s="49">
        <v>44162</v>
      </c>
      <c r="D709" s="51" t="s">
        <v>817</v>
      </c>
      <c r="E709" s="3">
        <v>23098.33</v>
      </c>
      <c r="F709" s="9" t="s">
        <v>72</v>
      </c>
      <c r="G709" s="9" t="str">
        <f>IF(IFERROR(VLOOKUP(D709,Payments!G:G,1,FALSE),"UNPAID")=D709,"yes","no")</f>
        <v>no</v>
      </c>
      <c r="H709" s="24">
        <v>1550.56</v>
      </c>
    </row>
    <row r="710" spans="1:9">
      <c r="A710" s="8" t="s">
        <v>17</v>
      </c>
      <c r="B710" s="35" t="s">
        <v>22</v>
      </c>
      <c r="C710" s="49">
        <v>44162</v>
      </c>
      <c r="D710" s="51" t="s">
        <v>818</v>
      </c>
      <c r="E710" s="3">
        <v>7289.81</v>
      </c>
      <c r="F710" s="9" t="s">
        <v>72</v>
      </c>
      <c r="G710" s="9" t="str">
        <f>IF(IFERROR(VLOOKUP(D710,Payments!G:G,1,FALSE),"UNPAID")=D710,"yes","no")</f>
        <v>no</v>
      </c>
    </row>
    <row r="711" spans="1:9">
      <c r="A711" s="8" t="s">
        <v>17</v>
      </c>
      <c r="B711" s="35" t="s">
        <v>22</v>
      </c>
      <c r="C711" s="49">
        <v>44162</v>
      </c>
      <c r="D711" s="51" t="s">
        <v>819</v>
      </c>
      <c r="E711" s="3">
        <f>210.5*125</f>
        <v>26312.5</v>
      </c>
      <c r="F711" s="9" t="s">
        <v>74</v>
      </c>
      <c r="G711" s="9" t="str">
        <f>IF(IFERROR(VLOOKUP(D711,Payments!G:G,1,FALSE),"UNPAID")=D711,"yes","no")</f>
        <v>no</v>
      </c>
    </row>
    <row r="712" spans="1:9">
      <c r="A712" s="8" t="s">
        <v>17</v>
      </c>
      <c r="B712" s="35" t="s">
        <v>23</v>
      </c>
      <c r="C712" s="49">
        <v>44162</v>
      </c>
      <c r="D712" s="51" t="s">
        <v>820</v>
      </c>
      <c r="E712" s="3">
        <v>5496.95</v>
      </c>
      <c r="F712" s="9" t="s">
        <v>77</v>
      </c>
      <c r="G712" s="9" t="str">
        <f>IF(IFERROR(VLOOKUP(D712,Payments!G:G,1,FALSE),"UNPAID")=D712,"yes","no")</f>
        <v>no</v>
      </c>
    </row>
    <row r="713" spans="1:9">
      <c r="A713" s="8" t="s">
        <v>17</v>
      </c>
      <c r="B713" s="35" t="s">
        <v>24</v>
      </c>
      <c r="C713" s="49">
        <v>44162</v>
      </c>
      <c r="D713" s="51" t="s">
        <v>821</v>
      </c>
      <c r="E713" s="3">
        <v>52</v>
      </c>
      <c r="F713" s="9" t="s">
        <v>77</v>
      </c>
      <c r="G713" s="9" t="str">
        <f>IF(IFERROR(VLOOKUP(D713,Payments!G:G,1,FALSE),"UNPAID")=D713,"yes","no")</f>
        <v>no</v>
      </c>
    </row>
    <row r="714" spans="1:9">
      <c r="A714" s="8" t="s">
        <v>17</v>
      </c>
      <c r="B714" s="35" t="s">
        <v>24</v>
      </c>
      <c r="C714" s="49">
        <v>44162</v>
      </c>
      <c r="D714" s="51" t="s">
        <v>822</v>
      </c>
      <c r="E714" s="3">
        <f>1*125</f>
        <v>125</v>
      </c>
      <c r="F714" s="9" t="s">
        <v>74</v>
      </c>
      <c r="G714" s="9" t="str">
        <f>IF(IFERROR(VLOOKUP(D714,Payments!G:G,1,FALSE),"UNPAID")=D714,"yes","no")</f>
        <v>no</v>
      </c>
    </row>
    <row r="715" spans="1:9">
      <c r="A715" s="8" t="s">
        <v>17</v>
      </c>
      <c r="B715" s="35" t="s">
        <v>25</v>
      </c>
      <c r="C715" s="49">
        <v>44162</v>
      </c>
      <c r="D715" s="51" t="s">
        <v>823</v>
      </c>
      <c r="E715" s="3">
        <v>132</v>
      </c>
      <c r="F715" s="9" t="s">
        <v>72</v>
      </c>
      <c r="G715" s="9" t="str">
        <f>IF(IFERROR(VLOOKUP(D715,Payments!G:G,1,FALSE),"UNPAID")=D715,"yes","no")</f>
        <v>no</v>
      </c>
    </row>
    <row r="716" spans="1:9">
      <c r="A716" s="8" t="s">
        <v>17</v>
      </c>
      <c r="B716" s="35" t="s">
        <v>25</v>
      </c>
      <c r="C716" s="49">
        <v>44162</v>
      </c>
      <c r="D716" s="51" t="s">
        <v>824</v>
      </c>
      <c r="E716" s="3">
        <f>1*125</f>
        <v>125</v>
      </c>
      <c r="F716" s="9" t="s">
        <v>74</v>
      </c>
      <c r="G716" s="9" t="str">
        <f>IF(IFERROR(VLOOKUP(D716,Payments!G:G,1,FALSE),"UNPAID")=D716,"yes","no")</f>
        <v>no</v>
      </c>
    </row>
    <row r="717" spans="1:9">
      <c r="B717" s="35" t="s">
        <v>31</v>
      </c>
      <c r="C717" s="49">
        <v>44162</v>
      </c>
      <c r="D717" s="51" t="s">
        <v>825</v>
      </c>
      <c r="E717" s="3">
        <v>3915.68</v>
      </c>
      <c r="F717" s="9" t="s">
        <v>77</v>
      </c>
      <c r="G717" s="9" t="str">
        <f>IF(IFERROR(VLOOKUP(D717,Payments!G:G,1,FALSE),"UNPAID")=D717,"yes","no")</f>
        <v>no</v>
      </c>
      <c r="H717" s="24">
        <v>96.93</v>
      </c>
    </row>
    <row r="718" spans="1:9">
      <c r="B718" s="35" t="s">
        <v>31</v>
      </c>
      <c r="C718" s="49">
        <v>44162</v>
      </c>
      <c r="D718" s="51" t="s">
        <v>826</v>
      </c>
      <c r="E718" s="3">
        <v>89.96</v>
      </c>
      <c r="F718" s="9" t="s">
        <v>235</v>
      </c>
      <c r="G718" s="9" t="str">
        <f>IF(IFERROR(VLOOKUP(D718,Payments!G:G,1,FALSE),"UNPAID")=D718,"yes","no")</f>
        <v>no</v>
      </c>
      <c r="I718" s="31" t="s">
        <v>827</v>
      </c>
    </row>
    <row r="719" spans="1:9">
      <c r="B719" s="35" t="s">
        <v>31</v>
      </c>
      <c r="C719" s="49">
        <v>44162</v>
      </c>
      <c r="D719" s="51" t="s">
        <v>828</v>
      </c>
      <c r="E719" s="3">
        <f>4.25*110</f>
        <v>467.5</v>
      </c>
      <c r="F719" s="9" t="s">
        <v>74</v>
      </c>
      <c r="G719" s="9" t="str">
        <f>IF(IFERROR(VLOOKUP(D719,Payments!G:G,1,FALSE),"UNPAID")=D719,"yes","no")</f>
        <v>no</v>
      </c>
    </row>
    <row r="720" spans="1:9">
      <c r="B720" s="35" t="s">
        <v>32</v>
      </c>
      <c r="C720" s="49">
        <v>44162</v>
      </c>
      <c r="D720" s="51" t="s">
        <v>829</v>
      </c>
      <c r="E720" s="3">
        <v>1779.83</v>
      </c>
      <c r="F720" s="9" t="s">
        <v>72</v>
      </c>
      <c r="G720" s="9" t="str">
        <f>IF(IFERROR(VLOOKUP(D720,Payments!G:G,1,FALSE),"UNPAID")=D720,"yes","no")</f>
        <v>no</v>
      </c>
    </row>
    <row r="721" spans="2:8">
      <c r="B721" s="34" t="s">
        <v>119</v>
      </c>
      <c r="C721" s="49">
        <v>44147</v>
      </c>
      <c r="D721" s="51" t="s">
        <v>830</v>
      </c>
      <c r="E721" s="3">
        <v>14314.75</v>
      </c>
      <c r="F721" s="9" t="s">
        <v>72</v>
      </c>
      <c r="G721" s="9" t="str">
        <f>IF(IFERROR(VLOOKUP(D721,Payments!G:G,1,FALSE),"UNPAID")=D721,"yes","no")</f>
        <v>yes</v>
      </c>
      <c r="H721" s="24">
        <v>2628.75</v>
      </c>
    </row>
    <row r="722" spans="2:8">
      <c r="B722" s="34" t="s">
        <v>119</v>
      </c>
      <c r="C722" s="49">
        <v>44162</v>
      </c>
      <c r="D722" s="51" t="s">
        <v>831</v>
      </c>
      <c r="E722" s="3">
        <v>3689.6</v>
      </c>
      <c r="F722" s="9" t="s">
        <v>72</v>
      </c>
      <c r="G722" s="9" t="str">
        <f>IF(IFERROR(VLOOKUP(D722,Payments!G:G,1,FALSE),"UNPAID")=D722,"yes","no")</f>
        <v>yes</v>
      </c>
      <c r="H722" s="24">
        <v>1670.1</v>
      </c>
    </row>
    <row r="723" spans="2:8">
      <c r="B723" s="35" t="s">
        <v>37</v>
      </c>
      <c r="C723" s="49">
        <v>44162</v>
      </c>
      <c r="D723" s="51" t="s">
        <v>832</v>
      </c>
      <c r="E723" s="3">
        <v>44405.42</v>
      </c>
      <c r="F723" s="9" t="s">
        <v>72</v>
      </c>
      <c r="G723" s="9" t="str">
        <f>IF(IFERROR(VLOOKUP(D723,Payments!G:G,1,FALSE),"UNPAID")=D723,"yes","no")</f>
        <v>no</v>
      </c>
      <c r="H723" s="24">
        <v>3793.04</v>
      </c>
    </row>
    <row r="724" spans="2:8">
      <c r="B724" s="35" t="s">
        <v>37</v>
      </c>
      <c r="C724" s="49">
        <v>44162</v>
      </c>
      <c r="D724" s="51" t="s">
        <v>833</v>
      </c>
      <c r="E724" s="3">
        <f>66.25*150</f>
        <v>9937.5</v>
      </c>
      <c r="F724" s="9" t="s">
        <v>74</v>
      </c>
      <c r="G724" s="9" t="str">
        <f>IF(IFERROR(VLOOKUP(D724,Payments!G:G,1,FALSE),"UNPAID")=D724,"yes","no")</f>
        <v>no</v>
      </c>
    </row>
    <row r="725" spans="2:8">
      <c r="B725" s="35" t="s">
        <v>39</v>
      </c>
      <c r="C725" s="49">
        <v>44162</v>
      </c>
      <c r="D725" s="51" t="s">
        <v>834</v>
      </c>
      <c r="E725" s="3">
        <v>8466.56</v>
      </c>
      <c r="F725" s="9" t="s">
        <v>72</v>
      </c>
      <c r="G725" s="9" t="str">
        <f>IF(IFERROR(VLOOKUP(D725,Payments!G:G,1,FALSE),"UNPAID")=D725,"yes","no")</f>
        <v>no</v>
      </c>
      <c r="H725" s="24">
        <v>376</v>
      </c>
    </row>
    <row r="726" spans="2:8">
      <c r="B726" s="35" t="s">
        <v>39</v>
      </c>
      <c r="C726" s="49">
        <v>44162</v>
      </c>
      <c r="D726" s="51" t="s">
        <v>835</v>
      </c>
      <c r="E726" s="3">
        <v>500</v>
      </c>
      <c r="F726" s="9" t="s">
        <v>74</v>
      </c>
      <c r="G726" s="9" t="str">
        <f>IF(IFERROR(VLOOKUP(D726,Payments!G:G,1,FALSE),"UNPAID")=D726,"yes","no")</f>
        <v>no</v>
      </c>
    </row>
    <row r="727" spans="2:8">
      <c r="B727" s="35" t="s">
        <v>40</v>
      </c>
      <c r="C727" s="49">
        <v>44162</v>
      </c>
      <c r="D727" s="51" t="s">
        <v>836</v>
      </c>
      <c r="E727" s="3">
        <v>2615.86</v>
      </c>
      <c r="F727" s="9" t="s">
        <v>72</v>
      </c>
      <c r="G727" s="9" t="str">
        <f>IF(IFERROR(VLOOKUP(D727,Payments!G:G,1,FALSE),"UNPAID")=D727,"yes","no")</f>
        <v>no</v>
      </c>
    </row>
    <row r="728" spans="2:8">
      <c r="B728" s="35" t="s">
        <v>41</v>
      </c>
      <c r="C728" s="49">
        <v>44162</v>
      </c>
      <c r="D728" s="51" t="s">
        <v>837</v>
      </c>
      <c r="E728" s="3">
        <v>5087</v>
      </c>
      <c r="F728" s="9" t="s">
        <v>72</v>
      </c>
      <c r="G728" s="9" t="str">
        <f>IF(IFERROR(VLOOKUP(D728,Payments!G:G,1,FALSE),"UNPAID")=D728,"yes","no")</f>
        <v>no</v>
      </c>
    </row>
    <row r="729" spans="2:8">
      <c r="B729" s="35" t="s">
        <v>41</v>
      </c>
      <c r="C729" s="49">
        <v>44162</v>
      </c>
      <c r="D729" s="51" t="s">
        <v>838</v>
      </c>
      <c r="E729" s="3">
        <v>500</v>
      </c>
      <c r="F729" s="9" t="s">
        <v>74</v>
      </c>
      <c r="G729" s="9" t="str">
        <f>IF(IFERROR(VLOOKUP(D729,Payments!G:G,1,FALSE),"UNPAID")=D729,"yes","no")</f>
        <v>no</v>
      </c>
    </row>
    <row r="730" spans="2:8">
      <c r="B730" s="35" t="s">
        <v>131</v>
      </c>
      <c r="C730" s="49">
        <v>44162</v>
      </c>
      <c r="D730" s="51" t="s">
        <v>839</v>
      </c>
      <c r="E730" s="3">
        <v>27046.92</v>
      </c>
      <c r="F730" s="9" t="s">
        <v>72</v>
      </c>
      <c r="G730" s="9" t="str">
        <f>IF(IFERROR(VLOOKUP(D730,Payments!G:G,1,FALSE),"UNPAID")=D730,"yes","no")</f>
        <v>no</v>
      </c>
      <c r="H730" s="24">
        <v>587.16999999999996</v>
      </c>
    </row>
    <row r="731" spans="2:8">
      <c r="B731" s="35" t="s">
        <v>131</v>
      </c>
      <c r="C731" s="49">
        <v>44162</v>
      </c>
      <c r="D731" s="51" t="s">
        <v>840</v>
      </c>
      <c r="E731" s="3">
        <v>20833.37</v>
      </c>
      <c r="F731" s="9" t="s">
        <v>74</v>
      </c>
      <c r="G731" s="9" t="str">
        <f>IF(IFERROR(VLOOKUP(D731,Payments!G:G,1,FALSE),"UNPAID")=D731,"yes","no")</f>
        <v>no</v>
      </c>
    </row>
    <row r="732" spans="2:8">
      <c r="B732" s="35" t="s">
        <v>49</v>
      </c>
      <c r="C732" s="49">
        <v>44162</v>
      </c>
      <c r="D732" s="51" t="s">
        <v>841</v>
      </c>
      <c r="E732" s="3">
        <v>1904.89</v>
      </c>
      <c r="F732" s="9" t="s">
        <v>204</v>
      </c>
      <c r="G732" s="9" t="str">
        <f>IF(IFERROR(VLOOKUP(D732,Payments!G:G,1,FALSE),"UNPAID")=D732,"yes","no")</f>
        <v>no</v>
      </c>
    </row>
    <row r="733" spans="2:8">
      <c r="B733" s="35" t="s">
        <v>50</v>
      </c>
      <c r="C733" s="49">
        <v>44162</v>
      </c>
      <c r="D733" s="51" t="s">
        <v>842</v>
      </c>
      <c r="E733" s="3">
        <v>390</v>
      </c>
      <c r="F733" s="9" t="s">
        <v>204</v>
      </c>
      <c r="G733" s="9" t="str">
        <f>IF(IFERROR(VLOOKUP(D733,Payments!G:G,1,FALSE),"UNPAID")=D733,"yes","no")</f>
        <v>no</v>
      </c>
    </row>
    <row r="734" spans="2:8">
      <c r="B734" s="35" t="s">
        <v>51</v>
      </c>
      <c r="C734" s="49">
        <v>44162</v>
      </c>
      <c r="D734" s="51" t="s">
        <v>843</v>
      </c>
      <c r="E734" s="3">
        <v>162.26</v>
      </c>
      <c r="F734" s="9" t="s">
        <v>204</v>
      </c>
      <c r="G734" s="9" t="str">
        <f>IF(IFERROR(VLOOKUP(D734,Payments!G:G,1,FALSE),"UNPAID")=D734,"yes","no")</f>
        <v>no</v>
      </c>
    </row>
    <row r="735" spans="2:8">
      <c r="B735" s="34" t="s">
        <v>52</v>
      </c>
      <c r="C735" s="49">
        <v>44162</v>
      </c>
      <c r="D735" s="51" t="s">
        <v>844</v>
      </c>
      <c r="E735" s="3">
        <v>885.4</v>
      </c>
      <c r="F735" s="9" t="s">
        <v>204</v>
      </c>
      <c r="G735" s="9" t="str">
        <f>IF(IFERROR(VLOOKUP(D735,Payments!G:G,1,FALSE),"UNPAID")=D735,"yes","no")</f>
        <v>yes</v>
      </c>
    </row>
    <row r="736" spans="2:8">
      <c r="B736" s="35" t="s">
        <v>53</v>
      </c>
      <c r="C736" s="49">
        <v>44162</v>
      </c>
      <c r="D736" s="51" t="s">
        <v>845</v>
      </c>
      <c r="E736" s="3">
        <v>1155</v>
      </c>
      <c r="F736" s="9" t="s">
        <v>204</v>
      </c>
      <c r="G736" s="9" t="str">
        <f>IF(IFERROR(VLOOKUP(D736,Payments!G:G,1,FALSE),"UNPAID")=D736,"yes","no")</f>
        <v>yes</v>
      </c>
    </row>
    <row r="737" spans="1:8">
      <c r="B737" s="35" t="s">
        <v>54</v>
      </c>
      <c r="C737" s="49">
        <v>44162</v>
      </c>
      <c r="D737" s="51" t="s">
        <v>846</v>
      </c>
      <c r="E737" s="3">
        <v>315</v>
      </c>
      <c r="F737" s="9" t="s">
        <v>204</v>
      </c>
      <c r="G737" s="9" t="str">
        <f>IF(IFERROR(VLOOKUP(D737,Payments!G:G,1,FALSE),"UNPAID")=D737,"yes","no")</f>
        <v>yes</v>
      </c>
    </row>
    <row r="738" spans="1:8">
      <c r="B738" s="35" t="s">
        <v>57</v>
      </c>
      <c r="C738" s="49">
        <v>44162</v>
      </c>
      <c r="D738" s="51" t="s">
        <v>847</v>
      </c>
      <c r="E738" s="3">
        <v>140</v>
      </c>
      <c r="F738" s="9" t="s">
        <v>204</v>
      </c>
      <c r="G738" s="9" t="str">
        <f>IF(IFERROR(VLOOKUP(D738,Payments!G:G,1,FALSE),"UNPAID")=D738,"yes","no")</f>
        <v>yes</v>
      </c>
    </row>
    <row r="739" spans="1:8">
      <c r="B739" s="34" t="s">
        <v>59</v>
      </c>
      <c r="C739" s="49">
        <v>44162</v>
      </c>
      <c r="D739" s="51" t="s">
        <v>848</v>
      </c>
      <c r="E739" s="3">
        <v>969.95</v>
      </c>
      <c r="F739" s="9" t="s">
        <v>204</v>
      </c>
      <c r="G739" s="9" t="str">
        <f>IF(IFERROR(VLOOKUP(D739,Payments!G:G,1,FALSE),"UNPAID")=D739,"yes","no")</f>
        <v>yes</v>
      </c>
    </row>
    <row r="740" spans="1:8">
      <c r="B740" s="35" t="s">
        <v>60</v>
      </c>
      <c r="C740" s="49">
        <v>44162</v>
      </c>
      <c r="D740" s="51" t="s">
        <v>849</v>
      </c>
      <c r="E740" s="3">
        <v>812</v>
      </c>
      <c r="F740" s="9" t="s">
        <v>204</v>
      </c>
      <c r="G740" s="9" t="str">
        <f>IF(IFERROR(VLOOKUP(D740,Payments!G:G,1,FALSE),"UNPAID")=D740,"yes","no")</f>
        <v>no</v>
      </c>
    </row>
    <row r="741" spans="1:8">
      <c r="B741" s="34" t="s">
        <v>62</v>
      </c>
      <c r="C741" s="49">
        <v>44162</v>
      </c>
      <c r="D741" s="51" t="s">
        <v>850</v>
      </c>
      <c r="E741" s="3">
        <v>120.1</v>
      </c>
      <c r="F741" s="9" t="s">
        <v>204</v>
      </c>
      <c r="G741" s="9" t="str">
        <f>IF(IFERROR(VLOOKUP(D741,Payments!G:G,1,FALSE),"UNPAID")=D741,"yes","no")</f>
        <v>yes</v>
      </c>
    </row>
    <row r="742" spans="1:8">
      <c r="B742" s="35" t="s">
        <v>63</v>
      </c>
      <c r="C742" s="49">
        <v>44162</v>
      </c>
      <c r="D742" s="51" t="s">
        <v>851</v>
      </c>
      <c r="E742" s="3">
        <v>630</v>
      </c>
      <c r="F742" s="9" t="s">
        <v>204</v>
      </c>
      <c r="G742" s="9" t="str">
        <f>IF(IFERROR(VLOOKUP(D742,Payments!G:G,1,FALSE),"UNPAID")=D742,"yes","no")</f>
        <v>no</v>
      </c>
    </row>
    <row r="743" spans="1:8">
      <c r="A743" s="8" t="s">
        <v>70</v>
      </c>
      <c r="B743" s="34" t="s">
        <v>6</v>
      </c>
      <c r="C743" s="32">
        <v>44177</v>
      </c>
      <c r="D743" s="11" t="s">
        <v>852</v>
      </c>
      <c r="E743" s="3">
        <v>25210.53</v>
      </c>
      <c r="F743" s="9" t="s">
        <v>72</v>
      </c>
      <c r="G743" s="9" t="str">
        <f>IF(IFERROR(VLOOKUP(D743,Payments!G:G,1,FALSE),"UNPAID")=D743,"yes","no")</f>
        <v>no</v>
      </c>
      <c r="H743" s="25">
        <v>3358.11</v>
      </c>
    </row>
    <row r="744" spans="1:8">
      <c r="A744" s="8" t="s">
        <v>70</v>
      </c>
      <c r="B744" s="34" t="s">
        <v>6</v>
      </c>
      <c r="C744" s="32">
        <v>44177</v>
      </c>
      <c r="D744" s="11" t="s">
        <v>853</v>
      </c>
      <c r="E744" s="3">
        <v>3358.11</v>
      </c>
      <c r="F744" s="9" t="s">
        <v>74</v>
      </c>
      <c r="G744" s="9" t="str">
        <f>IF(IFERROR(VLOOKUP(D744,Payments!G:G,1,FALSE),"UNPAID")=D744,"yes","no")</f>
        <v>no</v>
      </c>
      <c r="H744" s="25"/>
    </row>
    <row r="745" spans="1:8">
      <c r="A745" s="8" t="s">
        <v>70</v>
      </c>
      <c r="B745" s="34" t="s">
        <v>7</v>
      </c>
      <c r="C745" s="49">
        <v>44177</v>
      </c>
      <c r="D745" s="11" t="s">
        <v>854</v>
      </c>
      <c r="E745" s="3">
        <v>16222.71</v>
      </c>
      <c r="F745" s="9" t="s">
        <v>72</v>
      </c>
      <c r="G745" s="9" t="str">
        <f>IF(IFERROR(VLOOKUP(D745,Payments!G:G,1,FALSE),"UNPAID")=D745,"yes","no")</f>
        <v>no</v>
      </c>
      <c r="H745" s="25">
        <v>1200.1300000000001</v>
      </c>
    </row>
    <row r="746" spans="1:8">
      <c r="A746" s="8" t="s">
        <v>70</v>
      </c>
      <c r="B746" s="34" t="s">
        <v>7</v>
      </c>
      <c r="C746" s="49">
        <v>44177</v>
      </c>
      <c r="D746" s="11" t="s">
        <v>855</v>
      </c>
      <c r="E746" s="3">
        <v>1200.1300000000001</v>
      </c>
      <c r="F746" s="9" t="s">
        <v>74</v>
      </c>
      <c r="G746" s="9" t="str">
        <f>IF(IFERROR(VLOOKUP(D746,Payments!G:G,1,FALSE),"UNPAID")=D746,"yes","no")</f>
        <v>no</v>
      </c>
      <c r="H746" s="25"/>
    </row>
    <row r="747" spans="1:8">
      <c r="A747" s="8" t="s">
        <v>17</v>
      </c>
      <c r="B747" s="34" t="s">
        <v>18</v>
      </c>
      <c r="C747" s="32">
        <v>44177</v>
      </c>
      <c r="D747" s="51" t="s">
        <v>856</v>
      </c>
      <c r="E747" s="3">
        <v>50385.18</v>
      </c>
      <c r="F747" s="9" t="s">
        <v>72</v>
      </c>
      <c r="G747" s="9" t="str">
        <f>IF(IFERROR(VLOOKUP(D747,Payments!G:G,1,FALSE),"UNPAID")=D747,"yes","no")</f>
        <v>no</v>
      </c>
      <c r="H747" s="25">
        <v>5985.61</v>
      </c>
    </row>
    <row r="748" spans="1:8">
      <c r="A748" s="8" t="s">
        <v>17</v>
      </c>
      <c r="B748" s="34" t="s">
        <v>18</v>
      </c>
      <c r="C748" s="32">
        <v>44177</v>
      </c>
      <c r="D748" s="51" t="s">
        <v>857</v>
      </c>
      <c r="E748" s="3">
        <v>5985.61</v>
      </c>
      <c r="F748" s="9" t="s">
        <v>74</v>
      </c>
      <c r="G748" s="9" t="str">
        <f>IF(IFERROR(VLOOKUP(D748,Payments!G:G,1,FALSE),"UNPAID")=D748,"yes","no")</f>
        <v>no</v>
      </c>
      <c r="H748" s="25"/>
    </row>
    <row r="749" spans="1:8">
      <c r="A749" s="8" t="s">
        <v>17</v>
      </c>
      <c r="B749" s="35" t="s">
        <v>19</v>
      </c>
      <c r="C749" s="49">
        <v>44177</v>
      </c>
      <c r="D749" s="51" t="s">
        <v>858</v>
      </c>
      <c r="E749" s="3">
        <v>39742.03</v>
      </c>
      <c r="F749" s="9" t="s">
        <v>72</v>
      </c>
      <c r="G749" s="9" t="str">
        <f>IF(IFERROR(VLOOKUP(D749,Payments!G:G,1,FALSE),"UNPAID")=D749,"yes","no")</f>
        <v>no</v>
      </c>
      <c r="H749" s="25">
        <v>1817.94</v>
      </c>
    </row>
    <row r="750" spans="1:8">
      <c r="A750" s="8" t="s">
        <v>17</v>
      </c>
      <c r="B750" s="35" t="s">
        <v>19</v>
      </c>
      <c r="C750" s="32">
        <v>44177</v>
      </c>
      <c r="D750" s="51" t="s">
        <v>859</v>
      </c>
      <c r="E750" s="3">
        <v>1817.94</v>
      </c>
      <c r="F750" s="9" t="s">
        <v>74</v>
      </c>
      <c r="G750" s="9" t="str">
        <f>IF(IFERROR(VLOOKUP(D750,Payments!G:G,1,FALSE),"UNPAID")=D750,"yes","no")</f>
        <v>no</v>
      </c>
      <c r="H750" s="25"/>
    </row>
    <row r="751" spans="1:8">
      <c r="A751" s="8" t="s">
        <v>17</v>
      </c>
      <c r="B751" s="35" t="s">
        <v>21</v>
      </c>
      <c r="C751" s="32">
        <v>44177</v>
      </c>
      <c r="D751" s="51" t="s">
        <v>860</v>
      </c>
      <c r="E751" s="3">
        <v>20256.490000000002</v>
      </c>
      <c r="F751" s="9" t="s">
        <v>72</v>
      </c>
      <c r="G751" s="9" t="str">
        <f>IF(IFERROR(VLOOKUP(D751,Payments!G:G,1,FALSE),"UNPAID")=D751,"yes","no")</f>
        <v>no</v>
      </c>
      <c r="H751" s="25">
        <v>1597.6</v>
      </c>
    </row>
    <row r="752" spans="1:8">
      <c r="A752" s="8" t="s">
        <v>17</v>
      </c>
      <c r="B752" s="35" t="s">
        <v>21</v>
      </c>
      <c r="C752" s="32">
        <v>44177</v>
      </c>
      <c r="D752" s="51" t="s">
        <v>861</v>
      </c>
      <c r="E752" s="3">
        <v>1597.6</v>
      </c>
      <c r="F752" s="9" t="s">
        <v>74</v>
      </c>
      <c r="G752" s="9" t="str">
        <f>IF(IFERROR(VLOOKUP(D752,Payments!G:G,1,FALSE),"UNPAID")=D752,"yes","no")</f>
        <v>no</v>
      </c>
      <c r="H752" s="25"/>
    </row>
    <row r="753" spans="2:8">
      <c r="B753" s="35" t="s">
        <v>36</v>
      </c>
      <c r="C753" s="49">
        <v>44177</v>
      </c>
      <c r="D753" s="51" t="s">
        <v>862</v>
      </c>
      <c r="E753" s="3">
        <v>4674.7</v>
      </c>
      <c r="F753" s="9" t="s">
        <v>72</v>
      </c>
      <c r="G753" s="9" t="str">
        <f>IF(IFERROR(VLOOKUP(D753,Payments!G:G,1,FALSE),"UNPAID")=D753,"yes","no")</f>
        <v>no</v>
      </c>
      <c r="H753" s="25">
        <v>3206.8</v>
      </c>
    </row>
    <row r="754" spans="2:8">
      <c r="B754" s="35" t="s">
        <v>36</v>
      </c>
      <c r="C754" s="32">
        <v>44177</v>
      </c>
      <c r="D754" s="51" t="s">
        <v>863</v>
      </c>
      <c r="E754" s="3">
        <v>3206.8</v>
      </c>
      <c r="F754" s="9" t="s">
        <v>74</v>
      </c>
    </row>
  </sheetData>
  <autoFilter ref="A1:I754" xr:uid="{4CD17575-4F3B-4F01-BF6F-93C55ACAE7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FE44-D6B0-49DE-B4CD-89FC2372BFD2}">
  <dimension ref="A1:H634"/>
  <sheetViews>
    <sheetView tabSelected="1" workbookViewId="0">
      <selection activeCell="B638" sqref="B638"/>
    </sheetView>
  </sheetViews>
  <sheetFormatPr defaultRowHeight="14.5"/>
  <cols>
    <col min="1" max="1" width="9.1796875" style="43"/>
    <col min="2" max="2" width="23.1796875" style="41" bestFit="1" customWidth="1"/>
    <col min="3" max="3" width="18" style="68" bestFit="1" customWidth="1"/>
    <col min="4" max="4" width="13.54296875" style="41" bestFit="1" customWidth="1"/>
    <col min="5" max="5" width="11.1796875" style="41" bestFit="1" customWidth="1"/>
    <col min="6" max="6" width="13.54296875" style="41" customWidth="1"/>
    <col min="7" max="7" width="24.7265625" style="41" bestFit="1" customWidth="1"/>
    <col min="8" max="8" width="9.1796875" style="41"/>
  </cols>
  <sheetData>
    <row r="1" spans="1:8">
      <c r="A1" s="5" t="s">
        <v>0</v>
      </c>
      <c r="B1" s="42" t="s">
        <v>1</v>
      </c>
      <c r="C1" s="63" t="s">
        <v>877</v>
      </c>
      <c r="D1" s="40" t="s">
        <v>864</v>
      </c>
      <c r="E1" s="40" t="s">
        <v>865</v>
      </c>
      <c r="F1" s="40" t="s">
        <v>875</v>
      </c>
      <c r="G1" s="40" t="s">
        <v>65</v>
      </c>
      <c r="H1" s="40" t="s">
        <v>69</v>
      </c>
    </row>
    <row r="2" spans="1:8">
      <c r="B2" s="44" t="s">
        <v>119</v>
      </c>
      <c r="C2" s="64">
        <v>-14823.6</v>
      </c>
      <c r="D2" s="54" t="s">
        <v>866</v>
      </c>
      <c r="E2" s="54"/>
      <c r="F2" s="55">
        <v>43868</v>
      </c>
      <c r="G2" s="56" t="s">
        <v>120</v>
      </c>
      <c r="H2" s="54"/>
    </row>
    <row r="3" spans="1:8">
      <c r="B3" s="44" t="s">
        <v>53</v>
      </c>
      <c r="C3" s="64">
        <v>-1015</v>
      </c>
      <c r="D3" s="54"/>
      <c r="E3" s="54">
        <v>2406</v>
      </c>
      <c r="F3" s="55">
        <v>43871</v>
      </c>
      <c r="G3" s="51" t="s">
        <v>137</v>
      </c>
      <c r="H3" s="54"/>
    </row>
    <row r="4" spans="1:8">
      <c r="B4" s="44" t="s">
        <v>54</v>
      </c>
      <c r="C4" s="64">
        <v>-403</v>
      </c>
      <c r="D4" s="54"/>
      <c r="E4" s="54">
        <v>1818</v>
      </c>
      <c r="F4" s="55">
        <v>43871</v>
      </c>
      <c r="G4" s="51" t="s">
        <v>138</v>
      </c>
      <c r="H4" s="54"/>
    </row>
    <row r="5" spans="1:8">
      <c r="B5" s="44" t="s">
        <v>55</v>
      </c>
      <c r="C5" s="64">
        <v>-70</v>
      </c>
      <c r="D5" s="51"/>
      <c r="E5" s="54">
        <v>3374</v>
      </c>
      <c r="F5" s="55">
        <v>43871</v>
      </c>
      <c r="G5" s="56" t="s">
        <v>139</v>
      </c>
      <c r="H5" s="54"/>
    </row>
    <row r="6" spans="1:8">
      <c r="B6" s="44" t="s">
        <v>52</v>
      </c>
      <c r="C6" s="64">
        <v>-220.05</v>
      </c>
      <c r="D6" s="54"/>
      <c r="E6" s="54">
        <v>33653508</v>
      </c>
      <c r="F6" s="55">
        <v>43875</v>
      </c>
      <c r="G6" s="51" t="s">
        <v>136</v>
      </c>
      <c r="H6" s="54"/>
    </row>
    <row r="7" spans="1:8">
      <c r="A7" s="8" t="s">
        <v>17</v>
      </c>
      <c r="B7" s="35" t="s">
        <v>21</v>
      </c>
      <c r="C7" s="64">
        <v>-24283.56</v>
      </c>
      <c r="D7" s="54" t="s">
        <v>867</v>
      </c>
      <c r="E7" s="54">
        <v>1417501</v>
      </c>
      <c r="F7" s="55">
        <v>43875</v>
      </c>
      <c r="G7" s="56" t="s">
        <v>103</v>
      </c>
      <c r="H7" s="54"/>
    </row>
    <row r="8" spans="1:8">
      <c r="B8" s="44" t="s">
        <v>60</v>
      </c>
      <c r="C8" s="64">
        <v>-798</v>
      </c>
      <c r="D8" s="54"/>
      <c r="E8" s="54">
        <v>419370</v>
      </c>
      <c r="F8" s="55">
        <v>43879</v>
      </c>
      <c r="G8" s="56" t="s">
        <v>143</v>
      </c>
      <c r="H8" s="54"/>
    </row>
    <row r="9" spans="1:8">
      <c r="A9" s="8" t="s">
        <v>17</v>
      </c>
      <c r="B9" s="62" t="s">
        <v>22</v>
      </c>
      <c r="C9" s="65">
        <f>(282*125)*-1</f>
        <v>-35250</v>
      </c>
      <c r="D9" s="54"/>
      <c r="E9" s="57">
        <v>1423682</v>
      </c>
      <c r="F9" s="55">
        <v>43881</v>
      </c>
      <c r="G9" s="56" t="s">
        <v>107</v>
      </c>
      <c r="H9" s="54"/>
    </row>
    <row r="10" spans="1:8">
      <c r="B10" s="44" t="s">
        <v>27</v>
      </c>
      <c r="C10" s="65">
        <f>(1*200)*-1</f>
        <v>-200</v>
      </c>
      <c r="D10" s="51" t="s">
        <v>115</v>
      </c>
      <c r="E10" s="57">
        <v>1423682</v>
      </c>
      <c r="F10" s="55">
        <v>43881</v>
      </c>
      <c r="G10" s="56" t="s">
        <v>868</v>
      </c>
      <c r="H10" s="54"/>
    </row>
    <row r="11" spans="1:8">
      <c r="B11" s="34" t="s">
        <v>140</v>
      </c>
      <c r="C11" s="64">
        <v>-350</v>
      </c>
      <c r="D11" s="54" t="s">
        <v>866</v>
      </c>
      <c r="E11" s="54"/>
      <c r="F11" s="55">
        <v>43881</v>
      </c>
      <c r="G11" s="51" t="s">
        <v>141</v>
      </c>
      <c r="H11" s="54"/>
    </row>
    <row r="12" spans="1:8">
      <c r="B12" s="44" t="s">
        <v>59</v>
      </c>
      <c r="C12" s="64">
        <v>-1060.4000000000001</v>
      </c>
      <c r="D12" s="54"/>
      <c r="E12" s="54">
        <v>732435</v>
      </c>
      <c r="F12" s="55">
        <v>43881</v>
      </c>
      <c r="G12" s="56" t="s">
        <v>142</v>
      </c>
      <c r="H12" s="54"/>
    </row>
    <row r="13" spans="1:8">
      <c r="B13" s="44" t="s">
        <v>37</v>
      </c>
      <c r="C13" s="64">
        <v>-43094.05</v>
      </c>
      <c r="D13" s="53" t="s">
        <v>869</v>
      </c>
      <c r="E13" s="54"/>
      <c r="F13" s="55">
        <v>43882</v>
      </c>
      <c r="G13" s="56" t="s">
        <v>122</v>
      </c>
      <c r="H13" s="54"/>
    </row>
    <row r="14" spans="1:8">
      <c r="B14" s="44" t="s">
        <v>32</v>
      </c>
      <c r="C14" s="64">
        <v>-2146.7399999999998</v>
      </c>
      <c r="D14" s="54"/>
      <c r="E14" s="54">
        <v>12566</v>
      </c>
      <c r="F14" s="55">
        <v>43885</v>
      </c>
      <c r="G14" s="56" t="s">
        <v>118</v>
      </c>
      <c r="H14" s="54"/>
    </row>
    <row r="15" spans="1:8">
      <c r="B15" s="44" t="s">
        <v>36</v>
      </c>
      <c r="C15" s="64">
        <v>-15171.25</v>
      </c>
      <c r="D15" s="54" t="s">
        <v>869</v>
      </c>
      <c r="E15" s="55"/>
      <c r="F15" s="55">
        <v>43885</v>
      </c>
      <c r="G15" s="56" t="s">
        <v>120</v>
      </c>
      <c r="H15" s="54"/>
    </row>
    <row r="16" spans="1:8">
      <c r="B16" s="44" t="s">
        <v>37</v>
      </c>
      <c r="C16" s="64">
        <f>(73.75*150)*-1</f>
        <v>-11062.5</v>
      </c>
      <c r="D16" s="53" t="s">
        <v>869</v>
      </c>
      <c r="E16" s="54"/>
      <c r="F16" s="55">
        <v>43888</v>
      </c>
      <c r="G16" s="56" t="s">
        <v>125</v>
      </c>
      <c r="H16" s="54"/>
    </row>
    <row r="17" spans="1:8">
      <c r="B17" s="44" t="s">
        <v>63</v>
      </c>
      <c r="C17" s="64">
        <v>-455</v>
      </c>
      <c r="D17" s="53"/>
      <c r="E17" s="54">
        <v>2669</v>
      </c>
      <c r="F17" s="55">
        <v>43889</v>
      </c>
      <c r="G17" s="54" t="s">
        <v>145</v>
      </c>
      <c r="H17" s="54"/>
    </row>
    <row r="18" spans="1:8">
      <c r="B18" s="44" t="s">
        <v>31</v>
      </c>
      <c r="C18" s="64">
        <f>(2.25*110)*-1</f>
        <v>-247.5</v>
      </c>
      <c r="D18" s="53"/>
      <c r="E18" s="54">
        <v>1439062</v>
      </c>
      <c r="F18" s="55">
        <v>43889</v>
      </c>
      <c r="G18" s="56" t="s">
        <v>117</v>
      </c>
      <c r="H18" s="54"/>
    </row>
    <row r="19" spans="1:8">
      <c r="A19" s="8" t="s">
        <v>70</v>
      </c>
      <c r="B19" s="44" t="s">
        <v>14</v>
      </c>
      <c r="C19" s="64">
        <f>(4*110)*-1</f>
        <v>-440</v>
      </c>
      <c r="D19" s="53"/>
      <c r="E19" s="54">
        <v>230289</v>
      </c>
      <c r="F19" s="55">
        <v>43889</v>
      </c>
      <c r="G19" s="56" t="s">
        <v>92</v>
      </c>
      <c r="H19" s="54"/>
    </row>
    <row r="20" spans="1:8">
      <c r="B20" s="44" t="s">
        <v>31</v>
      </c>
      <c r="C20" s="64">
        <v>-3640.31</v>
      </c>
      <c r="D20" s="54"/>
      <c r="E20" s="54">
        <v>1439062</v>
      </c>
      <c r="F20" s="55">
        <v>43889</v>
      </c>
      <c r="G20" s="56" t="s">
        <v>116</v>
      </c>
      <c r="H20" s="54"/>
    </row>
    <row r="21" spans="1:8">
      <c r="A21" s="8" t="s">
        <v>17</v>
      </c>
      <c r="B21" s="44" t="s">
        <v>26</v>
      </c>
      <c r="C21" s="64">
        <f>(4.5*150)*-1</f>
        <v>-675</v>
      </c>
      <c r="D21" s="51"/>
      <c r="E21" s="57">
        <v>1066270</v>
      </c>
      <c r="F21" s="55">
        <v>43892</v>
      </c>
      <c r="G21" s="51" t="s">
        <v>114</v>
      </c>
      <c r="H21" s="54"/>
    </row>
    <row r="22" spans="1:8">
      <c r="A22" s="8" t="s">
        <v>70</v>
      </c>
      <c r="B22" s="44" t="s">
        <v>9</v>
      </c>
      <c r="C22" s="64">
        <v>-3667.75</v>
      </c>
      <c r="D22" s="54"/>
      <c r="E22" s="54">
        <v>3085403</v>
      </c>
      <c r="F22" s="55">
        <v>43892</v>
      </c>
      <c r="G22" s="57" t="s">
        <v>82</v>
      </c>
      <c r="H22" s="54"/>
    </row>
    <row r="23" spans="1:8">
      <c r="A23" s="8" t="s">
        <v>70</v>
      </c>
      <c r="B23" s="44" t="s">
        <v>12</v>
      </c>
      <c r="C23" s="64">
        <v>-898.14</v>
      </c>
      <c r="D23" s="54"/>
      <c r="E23" s="54">
        <v>3085403</v>
      </c>
      <c r="F23" s="55">
        <v>43892</v>
      </c>
      <c r="G23" s="56" t="s">
        <v>88</v>
      </c>
      <c r="H23" s="54"/>
    </row>
    <row r="24" spans="1:8">
      <c r="A24" s="8" t="s">
        <v>70</v>
      </c>
      <c r="B24" s="44" t="s">
        <v>16</v>
      </c>
      <c r="C24" s="64">
        <v>-472.57</v>
      </c>
      <c r="D24" s="54"/>
      <c r="E24" s="54">
        <v>11412</v>
      </c>
      <c r="F24" s="55">
        <v>43894</v>
      </c>
      <c r="G24" s="56" t="s">
        <v>94</v>
      </c>
      <c r="H24" s="54"/>
    </row>
    <row r="25" spans="1:8">
      <c r="A25" s="8" t="s">
        <v>17</v>
      </c>
      <c r="B25" s="44" t="s">
        <v>18</v>
      </c>
      <c r="C25" s="64">
        <v>-46348.65</v>
      </c>
      <c r="D25" s="54"/>
      <c r="E25" s="54">
        <v>1421797</v>
      </c>
      <c r="F25" s="55">
        <v>43894</v>
      </c>
      <c r="G25" s="56" t="s">
        <v>96</v>
      </c>
      <c r="H25" s="54"/>
    </row>
    <row r="26" spans="1:8">
      <c r="A26" s="8" t="s">
        <v>17</v>
      </c>
      <c r="B26" s="44" t="s">
        <v>19</v>
      </c>
      <c r="C26" s="64">
        <v>-41712.120000000003</v>
      </c>
      <c r="D26" s="54"/>
      <c r="E26" s="54">
        <v>1421797</v>
      </c>
      <c r="F26" s="55">
        <v>43894</v>
      </c>
      <c r="G26" s="56" t="s">
        <v>98</v>
      </c>
      <c r="H26" s="54"/>
    </row>
    <row r="27" spans="1:8">
      <c r="A27" s="8" t="s">
        <v>17</v>
      </c>
      <c r="B27" s="35" t="s">
        <v>21</v>
      </c>
      <c r="C27" s="64">
        <v>-23999.360000000001</v>
      </c>
      <c r="D27" s="54"/>
      <c r="E27" s="54">
        <v>1421797</v>
      </c>
      <c r="F27" s="55">
        <v>43894</v>
      </c>
      <c r="G27" s="56" t="s">
        <v>105</v>
      </c>
      <c r="H27" s="54"/>
    </row>
    <row r="28" spans="1:8">
      <c r="A28" s="8" t="s">
        <v>17</v>
      </c>
      <c r="B28" s="35" t="s">
        <v>21</v>
      </c>
      <c r="C28" s="64">
        <f>(64.5*125)*-1</f>
        <v>-8062.5</v>
      </c>
      <c r="D28" s="54"/>
      <c r="E28" s="54">
        <v>1423619</v>
      </c>
      <c r="F28" s="55">
        <v>43894</v>
      </c>
      <c r="G28" s="56" t="s">
        <v>104</v>
      </c>
      <c r="H28" s="54"/>
    </row>
    <row r="29" spans="1:8">
      <c r="A29" s="8" t="s">
        <v>17</v>
      </c>
      <c r="B29" s="44" t="s">
        <v>18</v>
      </c>
      <c r="C29" s="64">
        <f>(264.75*125)*-1</f>
        <v>-33093.75</v>
      </c>
      <c r="D29" s="54"/>
      <c r="E29" s="54">
        <v>1423620</v>
      </c>
      <c r="F29" s="55">
        <v>43894</v>
      </c>
      <c r="G29" s="56" t="s">
        <v>95</v>
      </c>
      <c r="H29" s="54"/>
    </row>
    <row r="30" spans="1:8">
      <c r="A30" s="8" t="s">
        <v>17</v>
      </c>
      <c r="B30" s="44" t="s">
        <v>19</v>
      </c>
      <c r="C30" s="64">
        <f>(102.75*125)*-1</f>
        <v>-12843.75</v>
      </c>
      <c r="D30" s="54"/>
      <c r="E30" s="54">
        <v>1423619</v>
      </c>
      <c r="F30" s="55">
        <v>43894</v>
      </c>
      <c r="G30" s="56" t="s">
        <v>100</v>
      </c>
      <c r="H30" s="54"/>
    </row>
    <row r="31" spans="1:8">
      <c r="A31" s="8" t="s">
        <v>17</v>
      </c>
      <c r="B31" s="44" t="s">
        <v>20</v>
      </c>
      <c r="C31" s="64">
        <f>(6.25*125)*-1</f>
        <v>-781.25</v>
      </c>
      <c r="D31" s="54"/>
      <c r="E31" s="54">
        <v>1423619</v>
      </c>
      <c r="F31" s="55">
        <v>43894</v>
      </c>
      <c r="G31" s="54" t="s">
        <v>102</v>
      </c>
      <c r="H31" s="54"/>
    </row>
    <row r="32" spans="1:8">
      <c r="A32" s="8" t="s">
        <v>70</v>
      </c>
      <c r="B32" s="44" t="s">
        <v>6</v>
      </c>
      <c r="C32" s="64">
        <f>(163.5*110)*-1</f>
        <v>-17985</v>
      </c>
      <c r="D32" s="54"/>
      <c r="E32" s="54">
        <v>230543</v>
      </c>
      <c r="F32" s="55">
        <v>43896</v>
      </c>
      <c r="G32" s="56" t="s">
        <v>73</v>
      </c>
      <c r="H32" s="54"/>
    </row>
    <row r="33" spans="1:8">
      <c r="A33" s="8" t="s">
        <v>70</v>
      </c>
      <c r="B33" s="44" t="s">
        <v>11</v>
      </c>
      <c r="C33" s="64">
        <f>(8.75*110)*-1</f>
        <v>-962.5</v>
      </c>
      <c r="D33" s="54"/>
      <c r="E33" s="54">
        <v>230543</v>
      </c>
      <c r="F33" s="55">
        <v>43896</v>
      </c>
      <c r="G33" s="56" t="s">
        <v>87</v>
      </c>
      <c r="H33" s="54"/>
    </row>
    <row r="34" spans="1:8">
      <c r="B34" s="44" t="s">
        <v>40</v>
      </c>
      <c r="C34" s="64">
        <v>-749.63</v>
      </c>
      <c r="D34" s="54"/>
      <c r="E34" s="54">
        <v>14869</v>
      </c>
      <c r="F34" s="55">
        <v>43897</v>
      </c>
      <c r="G34" s="51" t="s">
        <v>128</v>
      </c>
      <c r="H34" s="54"/>
    </row>
    <row r="35" spans="1:8">
      <c r="B35" s="44" t="s">
        <v>41</v>
      </c>
      <c r="C35" s="64">
        <v>-3432</v>
      </c>
      <c r="D35" s="54"/>
      <c r="E35" s="54">
        <v>68712</v>
      </c>
      <c r="F35" s="55">
        <v>43897</v>
      </c>
      <c r="G35" s="56" t="s">
        <v>129</v>
      </c>
      <c r="H35" s="54"/>
    </row>
    <row r="36" spans="1:8">
      <c r="B36" s="44" t="s">
        <v>41</v>
      </c>
      <c r="C36" s="64">
        <v>-500</v>
      </c>
      <c r="D36" s="54"/>
      <c r="E36" s="54">
        <v>68712</v>
      </c>
      <c r="F36" s="55">
        <v>43897</v>
      </c>
      <c r="G36" s="56" t="s">
        <v>130</v>
      </c>
      <c r="H36" s="54"/>
    </row>
    <row r="37" spans="1:8">
      <c r="B37" s="44" t="s">
        <v>52</v>
      </c>
      <c r="C37" s="64">
        <v>-815.4</v>
      </c>
      <c r="D37" s="54"/>
      <c r="E37" s="54">
        <v>33654426</v>
      </c>
      <c r="F37" s="55">
        <v>43899</v>
      </c>
      <c r="G37" s="51" t="s">
        <v>134</v>
      </c>
      <c r="H37" s="54"/>
    </row>
    <row r="38" spans="1:8">
      <c r="B38" s="44" t="s">
        <v>39</v>
      </c>
      <c r="C38" s="64">
        <v>-7821.56</v>
      </c>
      <c r="D38" s="54"/>
      <c r="E38" s="54">
        <v>179635</v>
      </c>
      <c r="F38" s="55">
        <v>43899</v>
      </c>
      <c r="G38" s="56" t="s">
        <v>126</v>
      </c>
      <c r="H38" s="54"/>
    </row>
    <row r="39" spans="1:8">
      <c r="A39" s="8" t="s">
        <v>70</v>
      </c>
      <c r="B39" s="44" t="s">
        <v>12</v>
      </c>
      <c r="C39" s="64">
        <f>(10*110)*-1</f>
        <v>-1100</v>
      </c>
      <c r="D39" s="54"/>
      <c r="E39" s="54">
        <v>230628</v>
      </c>
      <c r="F39" s="55">
        <v>43899</v>
      </c>
      <c r="G39" s="56" t="s">
        <v>89</v>
      </c>
      <c r="H39" s="54"/>
    </row>
    <row r="40" spans="1:8">
      <c r="A40" s="8" t="s">
        <v>70</v>
      </c>
      <c r="B40" s="44" t="s">
        <v>13</v>
      </c>
      <c r="C40" s="64">
        <v>-100</v>
      </c>
      <c r="D40" s="54"/>
      <c r="E40" s="54">
        <v>230628</v>
      </c>
      <c r="F40" s="55">
        <v>43899</v>
      </c>
      <c r="G40" s="51" t="s">
        <v>90</v>
      </c>
      <c r="H40" s="54"/>
    </row>
    <row r="41" spans="1:8">
      <c r="B41" s="44" t="s">
        <v>54</v>
      </c>
      <c r="C41" s="64">
        <v>-105</v>
      </c>
      <c r="D41" s="54"/>
      <c r="E41" s="54">
        <v>1827</v>
      </c>
      <c r="F41" s="55">
        <v>43899</v>
      </c>
      <c r="G41" s="51" t="s">
        <v>206</v>
      </c>
      <c r="H41" s="54"/>
    </row>
    <row r="42" spans="1:8">
      <c r="B42" s="44" t="s">
        <v>55</v>
      </c>
      <c r="C42" s="64">
        <v>-35</v>
      </c>
      <c r="D42" s="54"/>
      <c r="E42" s="54">
        <v>3381</v>
      </c>
      <c r="F42" s="55">
        <v>43899</v>
      </c>
      <c r="G42" s="51" t="s">
        <v>207</v>
      </c>
      <c r="H42" s="54"/>
    </row>
    <row r="43" spans="1:8">
      <c r="B43" s="44" t="s">
        <v>53</v>
      </c>
      <c r="C43" s="64">
        <v>-1750</v>
      </c>
      <c r="D43" s="54"/>
      <c r="E43" s="54">
        <v>2413</v>
      </c>
      <c r="F43" s="55">
        <v>43901</v>
      </c>
      <c r="G43" s="51" t="s">
        <v>205</v>
      </c>
      <c r="H43" s="54"/>
    </row>
    <row r="44" spans="1:8">
      <c r="B44" s="44" t="s">
        <v>63</v>
      </c>
      <c r="C44" s="64">
        <v>-350</v>
      </c>
      <c r="D44" s="54"/>
      <c r="E44" s="54">
        <v>2671</v>
      </c>
      <c r="F44" s="55">
        <v>43901</v>
      </c>
      <c r="G44" s="51" t="s">
        <v>214</v>
      </c>
      <c r="H44" s="54"/>
    </row>
    <row r="45" spans="1:8">
      <c r="A45" s="8" t="s">
        <v>70</v>
      </c>
      <c r="B45" s="44" t="s">
        <v>10</v>
      </c>
      <c r="C45" s="64">
        <f>(3*110)*-1</f>
        <v>-330</v>
      </c>
      <c r="D45" s="54"/>
      <c r="E45" s="54">
        <v>231342</v>
      </c>
      <c r="F45" s="55">
        <v>43902</v>
      </c>
      <c r="G45" s="57" t="s">
        <v>85</v>
      </c>
      <c r="H45" s="54"/>
    </row>
    <row r="46" spans="1:8">
      <c r="B46" s="44" t="s">
        <v>37</v>
      </c>
      <c r="C46" s="64">
        <v>-49267.23</v>
      </c>
      <c r="D46" s="53" t="s">
        <v>866</v>
      </c>
      <c r="E46" s="54"/>
      <c r="F46" s="55">
        <v>43909</v>
      </c>
      <c r="G46" s="56" t="s">
        <v>194</v>
      </c>
      <c r="H46" s="54"/>
    </row>
    <row r="47" spans="1:8">
      <c r="B47" s="44" t="s">
        <v>37</v>
      </c>
      <c r="C47" s="64">
        <f>(76.25*150)*-1</f>
        <v>-11437.5</v>
      </c>
      <c r="D47" s="53" t="s">
        <v>866</v>
      </c>
      <c r="E47" s="54"/>
      <c r="F47" s="55">
        <v>43910</v>
      </c>
      <c r="G47" s="56" t="s">
        <v>195</v>
      </c>
      <c r="H47" s="54"/>
    </row>
    <row r="48" spans="1:8">
      <c r="A48" s="8" t="s">
        <v>70</v>
      </c>
      <c r="B48" s="44" t="s">
        <v>9</v>
      </c>
      <c r="C48" s="64">
        <f>(4.5*110)*-1</f>
        <v>-495</v>
      </c>
      <c r="D48" s="54"/>
      <c r="E48" s="54">
        <v>231633</v>
      </c>
      <c r="F48" s="55">
        <v>43910</v>
      </c>
      <c r="G48" s="57" t="s">
        <v>83</v>
      </c>
      <c r="H48" s="54"/>
    </row>
    <row r="49" spans="1:8">
      <c r="B49" s="44" t="s">
        <v>39</v>
      </c>
      <c r="C49" s="64">
        <v>-500</v>
      </c>
      <c r="D49" s="54"/>
      <c r="E49" s="57">
        <v>179807</v>
      </c>
      <c r="F49" s="55">
        <v>43910</v>
      </c>
      <c r="G49" s="56" t="s">
        <v>127</v>
      </c>
      <c r="H49" s="54"/>
    </row>
    <row r="50" spans="1:8">
      <c r="A50" s="8" t="s">
        <v>70</v>
      </c>
      <c r="B50" s="44" t="s">
        <v>8</v>
      </c>
      <c r="C50" s="64">
        <v>-37283</v>
      </c>
      <c r="D50" s="54"/>
      <c r="E50" s="57">
        <v>231632</v>
      </c>
      <c r="F50" s="55">
        <v>43910</v>
      </c>
      <c r="G50" s="57" t="s">
        <v>81</v>
      </c>
      <c r="H50" s="54"/>
    </row>
    <row r="51" spans="1:8">
      <c r="B51" s="34" t="s">
        <v>140</v>
      </c>
      <c r="C51" s="64">
        <v>-403</v>
      </c>
      <c r="D51" s="54" t="s">
        <v>869</v>
      </c>
      <c r="E51" s="54"/>
      <c r="F51" s="55">
        <v>43912</v>
      </c>
      <c r="G51" s="51" t="s">
        <v>209</v>
      </c>
      <c r="H51" s="54"/>
    </row>
    <row r="52" spans="1:8">
      <c r="B52" s="44" t="s">
        <v>60</v>
      </c>
      <c r="C52" s="64">
        <v>-1653.09</v>
      </c>
      <c r="D52" s="54"/>
      <c r="E52" s="54">
        <v>420290</v>
      </c>
      <c r="F52" s="55">
        <v>43915</v>
      </c>
      <c r="G52" s="51" t="s">
        <v>212</v>
      </c>
      <c r="H52" s="54"/>
    </row>
    <row r="53" spans="1:8">
      <c r="B53" s="44" t="s">
        <v>59</v>
      </c>
      <c r="C53" s="64">
        <v>-834.45</v>
      </c>
      <c r="D53" s="54"/>
      <c r="E53" s="54">
        <v>733831</v>
      </c>
      <c r="F53" s="55">
        <v>43915</v>
      </c>
      <c r="G53" s="51" t="s">
        <v>211</v>
      </c>
      <c r="H53" s="54"/>
    </row>
    <row r="54" spans="1:8">
      <c r="A54" s="8" t="s">
        <v>70</v>
      </c>
      <c r="B54" s="44" t="s">
        <v>6</v>
      </c>
      <c r="C54" s="64">
        <v>-27306.5</v>
      </c>
      <c r="D54" s="54"/>
      <c r="E54" s="54">
        <v>3086494</v>
      </c>
      <c r="F54" s="55">
        <v>43969</v>
      </c>
      <c r="G54" s="56" t="s">
        <v>71</v>
      </c>
      <c r="H54" s="54"/>
    </row>
    <row r="55" spans="1:8">
      <c r="A55" s="8" t="s">
        <v>70</v>
      </c>
      <c r="B55" s="44" t="s">
        <v>10</v>
      </c>
      <c r="C55" s="64">
        <v>-582.54999999999995</v>
      </c>
      <c r="D55" s="54"/>
      <c r="E55" s="54">
        <v>3085686</v>
      </c>
      <c r="F55" s="55">
        <v>43915</v>
      </c>
      <c r="G55" s="57" t="s">
        <v>84</v>
      </c>
      <c r="H55" s="54"/>
    </row>
    <row r="56" spans="1:8">
      <c r="A56" s="8" t="s">
        <v>70</v>
      </c>
      <c r="B56" s="44" t="s">
        <v>7</v>
      </c>
      <c r="C56" s="64">
        <f>(87.5*110)*-1</f>
        <v>-9625</v>
      </c>
      <c r="D56" s="54"/>
      <c r="E56" s="54">
        <v>3085686</v>
      </c>
      <c r="F56" s="55">
        <v>43915</v>
      </c>
      <c r="G56" s="56" t="s">
        <v>150</v>
      </c>
      <c r="H56" s="54"/>
    </row>
    <row r="57" spans="1:8">
      <c r="B57" s="44" t="s">
        <v>52</v>
      </c>
      <c r="C57" s="64">
        <v>-1080.5</v>
      </c>
      <c r="D57" s="54"/>
      <c r="E57" s="54">
        <v>33655445</v>
      </c>
      <c r="F57" s="55">
        <v>43916</v>
      </c>
      <c r="G57" s="51" t="s">
        <v>203</v>
      </c>
      <c r="H57" s="54"/>
    </row>
    <row r="58" spans="1:8">
      <c r="A58" s="8" t="s">
        <v>70</v>
      </c>
      <c r="B58" s="44" t="s">
        <v>8</v>
      </c>
      <c r="C58" s="64">
        <f>(17*110)*-1</f>
        <v>-1870</v>
      </c>
      <c r="D58" s="54"/>
      <c r="E58" s="54">
        <v>231784</v>
      </c>
      <c r="F58" s="55">
        <v>43916</v>
      </c>
      <c r="G58" s="56" t="s">
        <v>153</v>
      </c>
      <c r="H58" s="54"/>
    </row>
    <row r="59" spans="1:8">
      <c r="A59" s="8" t="s">
        <v>70</v>
      </c>
      <c r="B59" s="44" t="s">
        <v>6</v>
      </c>
      <c r="C59" s="64">
        <v>-38527.64</v>
      </c>
      <c r="D59" s="54"/>
      <c r="E59" s="54">
        <v>3085686</v>
      </c>
      <c r="F59" s="55">
        <v>43915</v>
      </c>
      <c r="G59" s="56" t="s">
        <v>75</v>
      </c>
      <c r="H59" s="54"/>
    </row>
    <row r="60" spans="1:8">
      <c r="B60" s="44" t="s">
        <v>36</v>
      </c>
      <c r="C60" s="64">
        <v>-22137.33</v>
      </c>
      <c r="D60" s="54" t="s">
        <v>866</v>
      </c>
      <c r="E60" s="54"/>
      <c r="F60" s="55">
        <v>43916</v>
      </c>
      <c r="G60" s="56" t="s">
        <v>193</v>
      </c>
      <c r="H60" s="54"/>
    </row>
    <row r="61" spans="1:8">
      <c r="A61" s="8" t="s">
        <v>70</v>
      </c>
      <c r="B61" s="44" t="s">
        <v>15</v>
      </c>
      <c r="C61" s="64">
        <f>(5*110)*-1</f>
        <v>-550</v>
      </c>
      <c r="D61" s="51"/>
      <c r="E61" s="54">
        <v>232431</v>
      </c>
      <c r="F61" s="55">
        <v>43917</v>
      </c>
      <c r="G61" s="51" t="s">
        <v>93</v>
      </c>
      <c r="H61" s="54"/>
    </row>
    <row r="62" spans="1:8">
      <c r="A62" s="8" t="s">
        <v>70</v>
      </c>
      <c r="B62" s="44" t="s">
        <v>9</v>
      </c>
      <c r="C62" s="64">
        <f>(3*110)*-1</f>
        <v>-330</v>
      </c>
      <c r="D62" s="54"/>
      <c r="E62" s="54">
        <v>232432</v>
      </c>
      <c r="F62" s="55">
        <v>43919</v>
      </c>
      <c r="G62" s="56" t="s">
        <v>155</v>
      </c>
      <c r="H62" s="54"/>
    </row>
    <row r="63" spans="1:8">
      <c r="A63" s="8" t="s">
        <v>70</v>
      </c>
      <c r="B63" s="44" t="s">
        <v>11</v>
      </c>
      <c r="C63" s="64">
        <f>(3.5*110)*-1</f>
        <v>-385</v>
      </c>
      <c r="D63" s="54"/>
      <c r="E63" s="54">
        <v>232432</v>
      </c>
      <c r="F63" s="55">
        <v>43919</v>
      </c>
      <c r="G63" s="56" t="s">
        <v>159</v>
      </c>
      <c r="H63" s="54"/>
    </row>
    <row r="64" spans="1:8">
      <c r="A64" s="8" t="s">
        <v>70</v>
      </c>
      <c r="B64" s="44" t="s">
        <v>10</v>
      </c>
      <c r="C64" s="64">
        <f>(9.5*110)*-1</f>
        <v>-1045</v>
      </c>
      <c r="D64" s="54"/>
      <c r="E64" s="54">
        <v>232674</v>
      </c>
      <c r="F64" s="55">
        <v>43923</v>
      </c>
      <c r="G64" s="56" t="s">
        <v>157</v>
      </c>
      <c r="H64" s="54"/>
    </row>
    <row r="65" spans="1:8">
      <c r="A65" s="8" t="s">
        <v>70</v>
      </c>
      <c r="B65" s="44" t="s">
        <v>15</v>
      </c>
      <c r="C65" s="64">
        <f>(3*110)*-1</f>
        <v>-330</v>
      </c>
      <c r="D65" s="4"/>
      <c r="E65" s="54">
        <v>232721</v>
      </c>
      <c r="F65" s="55">
        <v>43924</v>
      </c>
      <c r="G65" s="4" t="s">
        <v>165</v>
      </c>
      <c r="H65" s="54"/>
    </row>
    <row r="66" spans="1:8">
      <c r="A66" s="8" t="s">
        <v>70</v>
      </c>
      <c r="B66" s="44" t="s">
        <v>6</v>
      </c>
      <c r="C66" s="64">
        <f>(148.25*110)*-1</f>
        <v>-16307.5</v>
      </c>
      <c r="D66" s="54"/>
      <c r="E66" s="54">
        <v>231784</v>
      </c>
      <c r="F66" s="55">
        <v>43916</v>
      </c>
      <c r="G66" s="56" t="s">
        <v>147</v>
      </c>
      <c r="H66" s="54"/>
    </row>
    <row r="67" spans="1:8">
      <c r="A67" s="8" t="s">
        <v>70</v>
      </c>
      <c r="B67" s="44" t="s">
        <v>7</v>
      </c>
      <c r="C67" s="64">
        <v>-28735.81</v>
      </c>
      <c r="D67" s="54"/>
      <c r="E67" s="54">
        <v>3085787</v>
      </c>
      <c r="F67" s="55">
        <v>43927</v>
      </c>
      <c r="G67" s="56" t="s">
        <v>149</v>
      </c>
      <c r="H67" s="54"/>
    </row>
    <row r="68" spans="1:8">
      <c r="A68" s="8" t="s">
        <v>70</v>
      </c>
      <c r="B68" s="44" t="s">
        <v>8</v>
      </c>
      <c r="C68" s="64">
        <v>-9001.42</v>
      </c>
      <c r="D68" s="54"/>
      <c r="E68" s="54">
        <v>3085787</v>
      </c>
      <c r="F68" s="55">
        <v>43927</v>
      </c>
      <c r="G68" s="56" t="s">
        <v>152</v>
      </c>
      <c r="H68" s="54"/>
    </row>
    <row r="69" spans="1:8">
      <c r="A69" s="8" t="s">
        <v>70</v>
      </c>
      <c r="B69" s="44" t="s">
        <v>9</v>
      </c>
      <c r="C69" s="64">
        <v>-2684.07</v>
      </c>
      <c r="D69" s="54"/>
      <c r="E69" s="54">
        <v>3085787</v>
      </c>
      <c r="F69" s="55">
        <v>43927</v>
      </c>
      <c r="G69" s="56" t="s">
        <v>154</v>
      </c>
      <c r="H69" s="54"/>
    </row>
    <row r="70" spans="1:8">
      <c r="A70" s="8" t="s">
        <v>70</v>
      </c>
      <c r="B70" s="44" t="s">
        <v>10</v>
      </c>
      <c r="C70" s="64">
        <v>-1430.89</v>
      </c>
      <c r="D70" s="54"/>
      <c r="E70" s="54">
        <v>3085787</v>
      </c>
      <c r="F70" s="55">
        <v>43927</v>
      </c>
      <c r="G70" s="56" t="s">
        <v>156</v>
      </c>
      <c r="H70" s="54"/>
    </row>
    <row r="71" spans="1:8">
      <c r="A71" s="8" t="s">
        <v>70</v>
      </c>
      <c r="B71" s="44" t="s">
        <v>11</v>
      </c>
      <c r="C71" s="64">
        <v>-8580.4</v>
      </c>
      <c r="D71" s="54"/>
      <c r="E71" s="54">
        <v>3085787</v>
      </c>
      <c r="F71" s="55">
        <v>43927</v>
      </c>
      <c r="G71" s="56" t="s">
        <v>158</v>
      </c>
      <c r="H71" s="54"/>
    </row>
    <row r="72" spans="1:8">
      <c r="A72" s="8" t="s">
        <v>70</v>
      </c>
      <c r="B72" s="44" t="s">
        <v>14</v>
      </c>
      <c r="C72" s="64">
        <v>-1678.48</v>
      </c>
      <c r="D72" s="54"/>
      <c r="E72" s="54">
        <v>3085787</v>
      </c>
      <c r="F72" s="55">
        <v>43927</v>
      </c>
      <c r="G72" s="56" t="s">
        <v>163</v>
      </c>
      <c r="H72" s="54"/>
    </row>
    <row r="73" spans="1:8">
      <c r="B73" s="44" t="s">
        <v>32</v>
      </c>
      <c r="C73" s="64">
        <v>-4948.87</v>
      </c>
      <c r="D73" s="54"/>
      <c r="E73" s="54">
        <v>13210</v>
      </c>
      <c r="F73" s="55">
        <v>43927</v>
      </c>
      <c r="G73" s="56" t="s">
        <v>191</v>
      </c>
      <c r="H73" s="54"/>
    </row>
    <row r="74" spans="1:8">
      <c r="A74" s="8" t="s">
        <v>17</v>
      </c>
      <c r="B74" s="62" t="s">
        <v>22</v>
      </c>
      <c r="C74" s="64">
        <v>-7486.31</v>
      </c>
      <c r="D74" s="54"/>
      <c r="E74" s="54">
        <v>1433227</v>
      </c>
      <c r="F74" s="55">
        <v>43927</v>
      </c>
      <c r="G74" s="56" t="s">
        <v>106</v>
      </c>
      <c r="H74" s="54"/>
    </row>
    <row r="75" spans="1:8">
      <c r="A75" s="8" t="s">
        <v>70</v>
      </c>
      <c r="B75" s="44" t="s">
        <v>8</v>
      </c>
      <c r="C75" s="64">
        <v>-6906.67</v>
      </c>
      <c r="D75" s="54"/>
      <c r="E75" s="54">
        <v>3085787</v>
      </c>
      <c r="F75" s="55">
        <v>43927</v>
      </c>
      <c r="G75" s="57" t="s">
        <v>80</v>
      </c>
      <c r="H75" s="54"/>
    </row>
    <row r="76" spans="1:8">
      <c r="A76" s="8" t="s">
        <v>70</v>
      </c>
      <c r="B76" s="44" t="s">
        <v>7</v>
      </c>
      <c r="C76" s="64">
        <v>-22001.82</v>
      </c>
      <c r="D76" s="54"/>
      <c r="E76" s="54">
        <v>3085787</v>
      </c>
      <c r="F76" s="55">
        <v>43927</v>
      </c>
      <c r="G76" s="56" t="s">
        <v>79</v>
      </c>
      <c r="H76" s="54"/>
    </row>
    <row r="77" spans="1:8">
      <c r="A77" s="8" t="s">
        <v>17</v>
      </c>
      <c r="B77" s="44" t="s">
        <v>18</v>
      </c>
      <c r="C77" s="64">
        <v>-65596.86</v>
      </c>
      <c r="D77" s="54"/>
      <c r="E77" s="54">
        <v>1432967</v>
      </c>
      <c r="F77" s="55">
        <v>43927</v>
      </c>
      <c r="G77" s="56" t="s">
        <v>97</v>
      </c>
      <c r="H77" s="54"/>
    </row>
    <row r="78" spans="1:8">
      <c r="A78" s="8" t="s">
        <v>17</v>
      </c>
      <c r="B78" s="62" t="s">
        <v>23</v>
      </c>
      <c r="C78" s="64">
        <v>-5346.48</v>
      </c>
      <c r="D78" s="54"/>
      <c r="E78" s="54">
        <v>1433227</v>
      </c>
      <c r="F78" s="55">
        <v>43927</v>
      </c>
      <c r="G78" s="56" t="s">
        <v>110</v>
      </c>
      <c r="H78" s="54"/>
    </row>
    <row r="79" spans="1:8">
      <c r="A79" s="8" t="s">
        <v>17</v>
      </c>
      <c r="B79" s="35" t="s">
        <v>21</v>
      </c>
      <c r="C79" s="64">
        <v>-30338.17</v>
      </c>
      <c r="D79" s="54"/>
      <c r="E79" s="54">
        <v>1432967</v>
      </c>
      <c r="F79" s="55">
        <v>43928</v>
      </c>
      <c r="G79" s="56" t="s">
        <v>174</v>
      </c>
      <c r="H79" s="54"/>
    </row>
    <row r="80" spans="1:8">
      <c r="B80" s="44" t="s">
        <v>40</v>
      </c>
      <c r="C80" s="64">
        <v>-1941.22</v>
      </c>
      <c r="D80" s="54"/>
      <c r="E80" s="54">
        <v>15076</v>
      </c>
      <c r="F80" s="55">
        <v>43928</v>
      </c>
      <c r="G80" s="51" t="s">
        <v>198</v>
      </c>
      <c r="H80" s="54"/>
    </row>
    <row r="81" spans="1:8">
      <c r="A81" s="8" t="s">
        <v>70</v>
      </c>
      <c r="B81" s="44" t="s">
        <v>14</v>
      </c>
      <c r="C81" s="64">
        <f>(1*110)*-1</f>
        <v>-110</v>
      </c>
      <c r="D81" s="54"/>
      <c r="E81" s="54">
        <v>232818</v>
      </c>
      <c r="F81" s="55">
        <v>43928</v>
      </c>
      <c r="G81" s="56" t="s">
        <v>164</v>
      </c>
      <c r="H81" s="54"/>
    </row>
    <row r="82" spans="1:8">
      <c r="A82" s="8" t="s">
        <v>17</v>
      </c>
      <c r="B82" s="62" t="s">
        <v>22</v>
      </c>
      <c r="C82" s="64">
        <f>(289.75*125)*-1</f>
        <v>-36218.75</v>
      </c>
      <c r="D82" s="54"/>
      <c r="E82" s="57">
        <v>1430930</v>
      </c>
      <c r="F82" s="55">
        <v>43928</v>
      </c>
      <c r="G82" s="56" t="s">
        <v>178</v>
      </c>
      <c r="H82" s="54"/>
    </row>
    <row r="83" spans="1:8">
      <c r="A83" s="8" t="s">
        <v>70</v>
      </c>
      <c r="B83" s="44" t="s">
        <v>12</v>
      </c>
      <c r="C83" s="64">
        <f>(7.25*110)*-1</f>
        <v>-797.5</v>
      </c>
      <c r="D83" s="54"/>
      <c r="E83" s="54">
        <v>232818</v>
      </c>
      <c r="F83" s="55">
        <v>43928</v>
      </c>
      <c r="G83" s="56" t="s">
        <v>161</v>
      </c>
      <c r="H83" s="54"/>
    </row>
    <row r="84" spans="1:8">
      <c r="B84" s="44" t="s">
        <v>27</v>
      </c>
      <c r="C84" s="64">
        <f>(1*200)*-1</f>
        <v>-200</v>
      </c>
      <c r="D84" s="51" t="s">
        <v>185</v>
      </c>
      <c r="E84" s="57">
        <v>1430930</v>
      </c>
      <c r="F84" s="55">
        <v>43928</v>
      </c>
      <c r="G84" s="55" t="s">
        <v>870</v>
      </c>
      <c r="H84" s="54"/>
    </row>
    <row r="85" spans="1:8">
      <c r="B85" s="44" t="s">
        <v>28</v>
      </c>
      <c r="C85" s="64">
        <f>(1*200)*-1</f>
        <v>-200</v>
      </c>
      <c r="D85" s="54"/>
      <c r="E85" s="57">
        <v>1430930</v>
      </c>
      <c r="F85" s="55">
        <v>43928</v>
      </c>
      <c r="G85" s="51" t="s">
        <v>186</v>
      </c>
      <c r="H85" s="54"/>
    </row>
    <row r="86" spans="1:8">
      <c r="B86" s="44" t="s">
        <v>29</v>
      </c>
      <c r="C86" s="64">
        <f>(1*200)*-1</f>
        <v>-200</v>
      </c>
      <c r="D86" s="54"/>
      <c r="E86" s="57">
        <v>1430930</v>
      </c>
      <c r="F86" s="55">
        <v>43928</v>
      </c>
      <c r="G86" s="51" t="s">
        <v>187</v>
      </c>
      <c r="H86" s="54"/>
    </row>
    <row r="87" spans="1:8">
      <c r="B87" s="44" t="s">
        <v>30</v>
      </c>
      <c r="C87" s="64">
        <f>(1*200)*-1</f>
        <v>-200</v>
      </c>
      <c r="D87" s="54"/>
      <c r="E87" s="57">
        <v>1430930</v>
      </c>
      <c r="F87" s="55">
        <v>43928</v>
      </c>
      <c r="G87" s="51" t="s">
        <v>188</v>
      </c>
      <c r="H87" s="54"/>
    </row>
    <row r="88" spans="1:8">
      <c r="A88" s="8" t="s">
        <v>70</v>
      </c>
      <c r="B88" s="44" t="s">
        <v>7</v>
      </c>
      <c r="C88" s="64">
        <f>(90.75*110)*-1</f>
        <v>-9982.5</v>
      </c>
      <c r="D88" s="54"/>
      <c r="E88" s="54">
        <v>232855</v>
      </c>
      <c r="F88" s="55">
        <v>43929</v>
      </c>
      <c r="G88" s="56" t="s">
        <v>78</v>
      </c>
      <c r="H88" s="54"/>
    </row>
    <row r="89" spans="1:8">
      <c r="A89" s="8" t="s">
        <v>17</v>
      </c>
      <c r="B89" s="35" t="s">
        <v>21</v>
      </c>
      <c r="C89" s="64">
        <f>(56.75*125)*-1</f>
        <v>-7093.75</v>
      </c>
      <c r="D89" s="54"/>
      <c r="E89" s="54">
        <v>1434315</v>
      </c>
      <c r="F89" s="55">
        <v>43931</v>
      </c>
      <c r="G89" s="56" t="s">
        <v>175</v>
      </c>
      <c r="H89" s="54"/>
    </row>
    <row r="90" spans="1:8">
      <c r="A90" s="8" t="s">
        <v>17</v>
      </c>
      <c r="B90" s="44" t="s">
        <v>18</v>
      </c>
      <c r="C90" s="64">
        <f>(231.25*125)*-1</f>
        <v>-28906.25</v>
      </c>
      <c r="D90" s="54"/>
      <c r="E90" s="54">
        <v>1434315</v>
      </c>
      <c r="F90" s="55">
        <v>43931</v>
      </c>
      <c r="G90" s="56" t="s">
        <v>168</v>
      </c>
      <c r="H90" s="54"/>
    </row>
    <row r="91" spans="1:8">
      <c r="A91" s="8" t="s">
        <v>17</v>
      </c>
      <c r="B91" s="44" t="s">
        <v>19</v>
      </c>
      <c r="C91" s="64">
        <f>(93.5*125)*-1</f>
        <v>-11687.5</v>
      </c>
      <c r="D91" s="54"/>
      <c r="E91" s="54">
        <v>1434315</v>
      </c>
      <c r="F91" s="55">
        <v>43931</v>
      </c>
      <c r="G91" s="56" t="s">
        <v>171</v>
      </c>
      <c r="H91" s="54"/>
    </row>
    <row r="92" spans="1:8">
      <c r="A92" s="8" t="s">
        <v>17</v>
      </c>
      <c r="B92" s="44" t="s">
        <v>20</v>
      </c>
      <c r="C92" s="64">
        <f>(9*125)*-1</f>
        <v>-1125</v>
      </c>
      <c r="D92" s="54"/>
      <c r="E92" s="54">
        <v>1434315</v>
      </c>
      <c r="F92" s="55">
        <v>43931</v>
      </c>
      <c r="G92" s="51" t="s">
        <v>173</v>
      </c>
      <c r="H92" s="54"/>
    </row>
    <row r="93" spans="1:8">
      <c r="A93" s="8" t="s">
        <v>17</v>
      </c>
      <c r="B93" s="44" t="s">
        <v>26</v>
      </c>
      <c r="C93" s="64">
        <f>(3*150)*-1</f>
        <v>-450</v>
      </c>
      <c r="D93" s="51"/>
      <c r="E93" s="57">
        <v>1068683</v>
      </c>
      <c r="F93" s="55">
        <v>43931</v>
      </c>
      <c r="G93" s="51" t="s">
        <v>184</v>
      </c>
      <c r="H93" s="54"/>
    </row>
    <row r="94" spans="1:8">
      <c r="B94" s="44" t="s">
        <v>54</v>
      </c>
      <c r="C94" s="64">
        <v>-263</v>
      </c>
      <c r="D94" s="54"/>
      <c r="E94" s="54">
        <v>1840</v>
      </c>
      <c r="F94" s="55">
        <v>43931</v>
      </c>
      <c r="G94" s="51" t="s">
        <v>285</v>
      </c>
      <c r="H94" s="54"/>
    </row>
    <row r="95" spans="1:8">
      <c r="B95" s="44" t="s">
        <v>31</v>
      </c>
      <c r="C95" s="64">
        <f>(3.25*110)*-1</f>
        <v>-357.5</v>
      </c>
      <c r="D95" s="54"/>
      <c r="E95" s="54">
        <v>1514559</v>
      </c>
      <c r="F95" s="55">
        <v>43934</v>
      </c>
      <c r="G95" s="56" t="s">
        <v>190</v>
      </c>
      <c r="H95" s="54"/>
    </row>
    <row r="96" spans="1:8">
      <c r="B96" s="44" t="s">
        <v>32</v>
      </c>
      <c r="C96" s="64">
        <v>-1332</v>
      </c>
      <c r="D96" s="54"/>
      <c r="E96" s="54">
        <v>13387</v>
      </c>
      <c r="F96" s="55">
        <v>43934</v>
      </c>
      <c r="G96" s="56" t="s">
        <v>262</v>
      </c>
      <c r="H96" s="54"/>
    </row>
    <row r="97" spans="1:8">
      <c r="B97" s="44" t="s">
        <v>55</v>
      </c>
      <c r="C97" s="64">
        <v>-35</v>
      </c>
      <c r="D97" s="54"/>
      <c r="E97" s="54">
        <v>3389</v>
      </c>
      <c r="F97" s="55">
        <v>43934</v>
      </c>
      <c r="G97" s="51" t="s">
        <v>286</v>
      </c>
      <c r="H97" s="54"/>
    </row>
    <row r="98" spans="1:8">
      <c r="B98" s="44" t="s">
        <v>63</v>
      </c>
      <c r="C98" s="64">
        <v>-385</v>
      </c>
      <c r="D98" s="54"/>
      <c r="E98" s="54">
        <v>2673</v>
      </c>
      <c r="F98" s="55">
        <v>43934</v>
      </c>
      <c r="G98" s="51" t="s">
        <v>292</v>
      </c>
      <c r="H98" s="54"/>
    </row>
    <row r="99" spans="1:8">
      <c r="A99" s="8" t="s">
        <v>17</v>
      </c>
      <c r="B99" s="44" t="s">
        <v>18</v>
      </c>
      <c r="C99" s="64">
        <v>-55375.77</v>
      </c>
      <c r="D99" s="54"/>
      <c r="E99" s="54">
        <v>1434342</v>
      </c>
      <c r="F99" s="55">
        <v>43935</v>
      </c>
      <c r="G99" s="56" t="s">
        <v>167</v>
      </c>
      <c r="H99" s="54"/>
    </row>
    <row r="100" spans="1:8">
      <c r="A100" s="8" t="s">
        <v>17</v>
      </c>
      <c r="B100" s="44" t="s">
        <v>19</v>
      </c>
      <c r="C100" s="64">
        <v>-62017.69</v>
      </c>
      <c r="D100" s="54"/>
      <c r="E100" s="54">
        <v>1434342</v>
      </c>
      <c r="F100" s="55">
        <v>43935</v>
      </c>
      <c r="G100" s="56" t="s">
        <v>170</v>
      </c>
      <c r="H100" s="54"/>
    </row>
    <row r="101" spans="1:8">
      <c r="A101" s="8" t="s">
        <v>17</v>
      </c>
      <c r="B101" s="62" t="s">
        <v>22</v>
      </c>
      <c r="C101" s="64">
        <v>-7486.41</v>
      </c>
      <c r="D101" s="54"/>
      <c r="E101" s="54">
        <v>1434342</v>
      </c>
      <c r="F101" s="55">
        <v>43935</v>
      </c>
      <c r="G101" s="56" t="s">
        <v>177</v>
      </c>
      <c r="H101" s="54"/>
    </row>
    <row r="102" spans="1:8">
      <c r="A102" s="8" t="s">
        <v>17</v>
      </c>
      <c r="B102" s="62" t="s">
        <v>23</v>
      </c>
      <c r="C102" s="64">
        <v>-4804.43</v>
      </c>
      <c r="D102" s="54"/>
      <c r="E102" s="54">
        <v>1434342</v>
      </c>
      <c r="F102" s="55">
        <v>43935</v>
      </c>
      <c r="G102" s="56" t="s">
        <v>180</v>
      </c>
      <c r="H102" s="54"/>
    </row>
    <row r="103" spans="1:8">
      <c r="B103" s="44" t="s">
        <v>37</v>
      </c>
      <c r="C103" s="64">
        <v>-50268.73</v>
      </c>
      <c r="D103" s="53" t="s">
        <v>866</v>
      </c>
      <c r="E103" s="54"/>
      <c r="F103" s="55">
        <v>43937</v>
      </c>
      <c r="G103" s="56" t="s">
        <v>267</v>
      </c>
      <c r="H103" s="54"/>
    </row>
    <row r="104" spans="1:8">
      <c r="B104" s="44" t="s">
        <v>60</v>
      </c>
      <c r="C104" s="64">
        <v>-986</v>
      </c>
      <c r="D104" s="53"/>
      <c r="E104" s="54">
        <v>420845</v>
      </c>
      <c r="F104" s="55">
        <v>43937</v>
      </c>
      <c r="G104" s="51" t="s">
        <v>290</v>
      </c>
      <c r="H104" s="54"/>
    </row>
    <row r="105" spans="1:8">
      <c r="B105" s="44" t="s">
        <v>37</v>
      </c>
      <c r="C105" s="64">
        <f>(78.25*150)*-1</f>
        <v>-11737.5</v>
      </c>
      <c r="D105" s="53" t="s">
        <v>866</v>
      </c>
      <c r="E105" s="54"/>
      <c r="F105" s="55">
        <v>43938</v>
      </c>
      <c r="G105" s="56" t="s">
        <v>268</v>
      </c>
      <c r="H105" s="54"/>
    </row>
    <row r="106" spans="1:8">
      <c r="A106" s="8" t="s">
        <v>70</v>
      </c>
      <c r="B106" s="44" t="s">
        <v>7</v>
      </c>
      <c r="C106" s="64">
        <v>-21130.19</v>
      </c>
      <c r="D106" s="53"/>
      <c r="E106" s="54">
        <v>3086079</v>
      </c>
      <c r="F106" s="55">
        <v>43941</v>
      </c>
      <c r="G106" s="56" t="s">
        <v>218</v>
      </c>
      <c r="H106" s="54"/>
    </row>
    <row r="107" spans="1:8">
      <c r="B107" s="44" t="s">
        <v>36</v>
      </c>
      <c r="C107" s="64">
        <v>-12182</v>
      </c>
      <c r="D107" s="54" t="s">
        <v>866</v>
      </c>
      <c r="E107" s="54"/>
      <c r="F107" s="55">
        <v>43943</v>
      </c>
      <c r="G107" s="56" t="s">
        <v>266</v>
      </c>
      <c r="H107" s="54"/>
    </row>
    <row r="108" spans="1:8">
      <c r="B108" s="34" t="s">
        <v>140</v>
      </c>
      <c r="C108" s="64">
        <v>-210</v>
      </c>
      <c r="D108" s="54" t="s">
        <v>866</v>
      </c>
      <c r="E108" s="54"/>
      <c r="F108" s="55">
        <v>43943</v>
      </c>
      <c r="G108" s="51" t="s">
        <v>288</v>
      </c>
      <c r="H108" s="54"/>
    </row>
    <row r="109" spans="1:8">
      <c r="B109" s="44" t="s">
        <v>131</v>
      </c>
      <c r="C109" s="64">
        <v>-20833.330000000002</v>
      </c>
      <c r="D109" s="53" t="s">
        <v>866</v>
      </c>
      <c r="E109" s="53"/>
      <c r="F109" s="55">
        <v>43945</v>
      </c>
      <c r="G109" s="56" t="s">
        <v>133</v>
      </c>
      <c r="H109" s="54"/>
    </row>
    <row r="110" spans="1:8" ht="14.25" customHeight="1">
      <c r="A110" s="8" t="s">
        <v>70</v>
      </c>
      <c r="B110" s="44" t="s">
        <v>8</v>
      </c>
      <c r="C110" s="64">
        <f>(17.75*110)*-1</f>
        <v>-1952.5</v>
      </c>
      <c r="D110" s="54"/>
      <c r="E110" s="57">
        <v>233906</v>
      </c>
      <c r="F110" s="55">
        <v>43945</v>
      </c>
      <c r="G110" s="57" t="s">
        <v>222</v>
      </c>
      <c r="H110" s="54"/>
    </row>
    <row r="111" spans="1:8" ht="14.25" customHeight="1">
      <c r="A111" s="8" t="s">
        <v>70</v>
      </c>
      <c r="B111" s="46" t="s">
        <v>14</v>
      </c>
      <c r="C111" s="66">
        <f>(0.5*110)*-1</f>
        <v>-55</v>
      </c>
      <c r="D111" s="58"/>
      <c r="E111" s="58">
        <v>234533</v>
      </c>
      <c r="F111" s="59">
        <v>43945</v>
      </c>
      <c r="G111" s="51" t="s">
        <v>233</v>
      </c>
      <c r="H111" s="54"/>
    </row>
    <row r="112" spans="1:8" ht="14.25" customHeight="1">
      <c r="B112" s="44" t="s">
        <v>131</v>
      </c>
      <c r="C112" s="64">
        <v>-20833.330000000002</v>
      </c>
      <c r="D112" s="53" t="s">
        <v>866</v>
      </c>
      <c r="E112" s="54"/>
      <c r="F112" s="55">
        <v>43945</v>
      </c>
      <c r="G112" s="56" t="s">
        <v>280</v>
      </c>
      <c r="H112" s="54"/>
    </row>
    <row r="113" spans="1:8" ht="14.25" customHeight="1">
      <c r="A113" s="8" t="s">
        <v>70</v>
      </c>
      <c r="B113" s="44" t="s">
        <v>10</v>
      </c>
      <c r="C113" s="64">
        <f>(8.75*110)*-1</f>
        <v>-962.5</v>
      </c>
      <c r="D113" s="54"/>
      <c r="E113" s="54">
        <v>234532</v>
      </c>
      <c r="F113" s="55">
        <v>43946</v>
      </c>
      <c r="G113" s="57" t="s">
        <v>226</v>
      </c>
      <c r="H113" s="54"/>
    </row>
    <row r="114" spans="1:8" ht="14.25" customHeight="1">
      <c r="B114" s="44" t="s">
        <v>34</v>
      </c>
      <c r="C114" s="64">
        <f>((12*200)+(2781*2))*-1</f>
        <v>-7962</v>
      </c>
      <c r="D114" s="54"/>
      <c r="E114" s="54">
        <v>122289</v>
      </c>
      <c r="F114" s="55">
        <v>43946</v>
      </c>
      <c r="G114" s="51" t="s">
        <v>263</v>
      </c>
      <c r="H114" s="54"/>
    </row>
    <row r="115" spans="1:8" ht="14.25" customHeight="1">
      <c r="A115" s="8" t="s">
        <v>17</v>
      </c>
      <c r="B115" s="44" t="s">
        <v>18</v>
      </c>
      <c r="C115" s="64">
        <v>-52362.63</v>
      </c>
      <c r="D115" s="53"/>
      <c r="E115" s="54">
        <v>1439106</v>
      </c>
      <c r="F115" s="55">
        <v>43948</v>
      </c>
      <c r="G115" s="56" t="s">
        <v>169</v>
      </c>
      <c r="H115" s="54"/>
    </row>
    <row r="116" spans="1:8">
      <c r="A116" s="8" t="s">
        <v>17</v>
      </c>
      <c r="B116" s="44" t="s">
        <v>19</v>
      </c>
      <c r="C116" s="64">
        <v>-47066.97</v>
      </c>
      <c r="D116" s="53"/>
      <c r="E116" s="54">
        <v>1439107</v>
      </c>
      <c r="F116" s="55">
        <v>43948</v>
      </c>
      <c r="G116" s="56" t="s">
        <v>172</v>
      </c>
      <c r="H116" s="54"/>
    </row>
    <row r="117" spans="1:8">
      <c r="A117" s="8" t="s">
        <v>70</v>
      </c>
      <c r="B117" s="44" t="s">
        <v>6</v>
      </c>
      <c r="C117" s="64">
        <v>-38992.15</v>
      </c>
      <c r="D117" s="54"/>
      <c r="E117" s="54">
        <v>3086494</v>
      </c>
      <c r="F117" s="55">
        <v>43969</v>
      </c>
      <c r="G117" s="56" t="s">
        <v>146</v>
      </c>
      <c r="H117" s="54"/>
    </row>
    <row r="118" spans="1:8">
      <c r="A118" s="8" t="s">
        <v>70</v>
      </c>
      <c r="B118" s="44" t="s">
        <v>6</v>
      </c>
      <c r="C118" s="64">
        <v>-39597.019999999997</v>
      </c>
      <c r="D118" s="54"/>
      <c r="E118" s="54">
        <v>3085787</v>
      </c>
      <c r="F118" s="55">
        <v>43927</v>
      </c>
      <c r="G118" s="56" t="s">
        <v>148</v>
      </c>
      <c r="H118" s="54"/>
    </row>
    <row r="119" spans="1:8">
      <c r="A119" s="8" t="s">
        <v>70</v>
      </c>
      <c r="B119" s="44" t="s">
        <v>8</v>
      </c>
      <c r="C119" s="64">
        <v>-6166.54</v>
      </c>
      <c r="D119" s="54"/>
      <c r="E119" s="54">
        <v>3086205</v>
      </c>
      <c r="F119" s="55">
        <v>43948</v>
      </c>
      <c r="G119" s="57" t="s">
        <v>221</v>
      </c>
      <c r="H119" s="54"/>
    </row>
    <row r="120" spans="1:8">
      <c r="A120" s="8" t="s">
        <v>70</v>
      </c>
      <c r="B120" s="44" t="s">
        <v>10</v>
      </c>
      <c r="C120" s="64">
        <v>-295.52</v>
      </c>
      <c r="D120" s="54"/>
      <c r="E120" s="54">
        <v>3086204</v>
      </c>
      <c r="F120" s="55">
        <v>43948</v>
      </c>
      <c r="G120" s="57" t="s">
        <v>225</v>
      </c>
      <c r="H120" s="54"/>
    </row>
    <row r="121" spans="1:8">
      <c r="A121" s="8" t="s">
        <v>70</v>
      </c>
      <c r="B121" s="44" t="s">
        <v>14</v>
      </c>
      <c r="C121" s="64">
        <v>-1757.26</v>
      </c>
      <c r="D121" s="54"/>
      <c r="E121" s="54">
        <v>3086205</v>
      </c>
      <c r="F121" s="55">
        <v>43948</v>
      </c>
      <c r="G121" s="56" t="s">
        <v>232</v>
      </c>
      <c r="H121" s="54"/>
    </row>
    <row r="122" spans="1:8">
      <c r="A122" s="8" t="s">
        <v>70</v>
      </c>
      <c r="B122" s="44" t="s">
        <v>16</v>
      </c>
      <c r="C122" s="64">
        <v>-225.81</v>
      </c>
      <c r="D122" s="54"/>
      <c r="E122" s="54">
        <v>11827</v>
      </c>
      <c r="F122" s="55">
        <v>43948</v>
      </c>
      <c r="G122" s="56" t="s">
        <v>237</v>
      </c>
      <c r="H122" s="54"/>
    </row>
    <row r="123" spans="1:8">
      <c r="B123" s="44" t="s">
        <v>53</v>
      </c>
      <c r="C123" s="64">
        <v>-875</v>
      </c>
      <c r="D123" s="54"/>
      <c r="E123" s="54">
        <v>2420</v>
      </c>
      <c r="F123" s="55">
        <v>43948</v>
      </c>
      <c r="G123" s="51" t="s">
        <v>284</v>
      </c>
      <c r="H123" s="54"/>
    </row>
    <row r="124" spans="1:8">
      <c r="B124" s="44" t="s">
        <v>59</v>
      </c>
      <c r="C124" s="64">
        <v>-455.35</v>
      </c>
      <c r="D124" s="54"/>
      <c r="E124" s="54">
        <v>735090</v>
      </c>
      <c r="F124" s="55">
        <v>43948</v>
      </c>
      <c r="G124" s="51" t="s">
        <v>289</v>
      </c>
      <c r="H124" s="54"/>
    </row>
    <row r="125" spans="1:8">
      <c r="A125" s="8" t="s">
        <v>70</v>
      </c>
      <c r="B125" s="44" t="s">
        <v>12</v>
      </c>
      <c r="C125" s="64">
        <f>(9*110)*-1</f>
        <v>-990</v>
      </c>
      <c r="D125" s="54"/>
      <c r="E125" s="54">
        <v>234628</v>
      </c>
      <c r="F125" s="55">
        <v>43949</v>
      </c>
      <c r="G125" s="56" t="s">
        <v>230</v>
      </c>
      <c r="H125" s="54"/>
    </row>
    <row r="126" spans="1:8">
      <c r="A126" s="8" t="s">
        <v>70</v>
      </c>
      <c r="B126" s="44" t="s">
        <v>13</v>
      </c>
      <c r="C126" s="64">
        <v>-100</v>
      </c>
      <c r="D126" s="54"/>
      <c r="E126" s="57">
        <v>234697</v>
      </c>
      <c r="F126" s="55">
        <v>43949</v>
      </c>
      <c r="G126" s="51" t="s">
        <v>231</v>
      </c>
      <c r="H126" s="54"/>
    </row>
    <row r="127" spans="1:8">
      <c r="B127" s="44" t="s">
        <v>32</v>
      </c>
      <c r="C127" s="64">
        <v>-2106.77</v>
      </c>
      <c r="D127" s="54"/>
      <c r="E127" s="54">
        <v>13739</v>
      </c>
      <c r="F127" s="55">
        <v>43952</v>
      </c>
      <c r="G127" s="56" t="s">
        <v>260</v>
      </c>
      <c r="H127" s="54"/>
    </row>
    <row r="128" spans="1:8">
      <c r="B128" s="44" t="s">
        <v>40</v>
      </c>
      <c r="C128" s="64">
        <v>-1581.43</v>
      </c>
      <c r="D128" s="54"/>
      <c r="E128" s="54">
        <v>15239</v>
      </c>
      <c r="F128" s="55">
        <v>43952</v>
      </c>
      <c r="G128" s="51" t="s">
        <v>272</v>
      </c>
      <c r="H128" s="54"/>
    </row>
    <row r="129" spans="1:8">
      <c r="B129" s="44" t="s">
        <v>35</v>
      </c>
      <c r="C129" s="64">
        <f>((0.5*150)+(1*150))*-1</f>
        <v>-225</v>
      </c>
      <c r="D129" s="51"/>
      <c r="E129" s="57">
        <v>117598</v>
      </c>
      <c r="F129" s="55">
        <v>43952</v>
      </c>
      <c r="G129" s="51" t="s">
        <v>264</v>
      </c>
      <c r="H129" s="54"/>
    </row>
    <row r="130" spans="1:8">
      <c r="A130" s="8" t="s">
        <v>17</v>
      </c>
      <c r="B130" s="44" t="s">
        <v>18</v>
      </c>
      <c r="C130" s="64">
        <v>-40915.160000000003</v>
      </c>
      <c r="D130" s="54"/>
      <c r="E130" s="54">
        <v>1439676</v>
      </c>
      <c r="F130" s="55">
        <v>43955</v>
      </c>
      <c r="G130" s="56" t="s">
        <v>241</v>
      </c>
      <c r="H130" s="54"/>
    </row>
    <row r="131" spans="1:8">
      <c r="A131" s="8" t="s">
        <v>17</v>
      </c>
      <c r="B131" s="44" t="s">
        <v>19</v>
      </c>
      <c r="C131" s="64">
        <v>-33046.080000000002</v>
      </c>
      <c r="D131" s="54"/>
      <c r="E131" s="54">
        <v>1439677</v>
      </c>
      <c r="F131" s="55">
        <v>43955</v>
      </c>
      <c r="G131" s="56" t="s">
        <v>244</v>
      </c>
      <c r="H131" s="54"/>
    </row>
    <row r="132" spans="1:8">
      <c r="A132" s="8" t="s">
        <v>17</v>
      </c>
      <c r="B132" s="44" t="s">
        <v>24</v>
      </c>
      <c r="C132" s="64">
        <f>(1.5*125)*-1</f>
        <v>-187.5</v>
      </c>
      <c r="D132" s="54"/>
      <c r="E132" s="57">
        <v>1440890</v>
      </c>
      <c r="F132" s="55">
        <v>43955</v>
      </c>
      <c r="G132" s="56" t="s">
        <v>254</v>
      </c>
      <c r="H132" s="54"/>
    </row>
    <row r="133" spans="1:8">
      <c r="A133" s="8" t="s">
        <v>17</v>
      </c>
      <c r="B133" s="44" t="s">
        <v>26</v>
      </c>
      <c r="C133" s="64">
        <f>(0.25*150)*-1</f>
        <v>-37.5</v>
      </c>
      <c r="D133" s="54"/>
      <c r="E133" s="57">
        <v>1070575</v>
      </c>
      <c r="F133" s="55">
        <v>43955</v>
      </c>
      <c r="G133" s="55" t="s">
        <v>256</v>
      </c>
      <c r="H133" s="54"/>
    </row>
    <row r="134" spans="1:8">
      <c r="A134" s="8" t="s">
        <v>70</v>
      </c>
      <c r="B134" s="44" t="s">
        <v>7</v>
      </c>
      <c r="C134" s="64">
        <v>-11873.33</v>
      </c>
      <c r="D134" s="54"/>
      <c r="E134" s="54">
        <v>3086311</v>
      </c>
      <c r="F134" s="55">
        <v>43955</v>
      </c>
      <c r="G134" s="56" t="s">
        <v>296</v>
      </c>
      <c r="H134" s="54"/>
    </row>
    <row r="135" spans="1:8">
      <c r="B135" s="44" t="s">
        <v>36</v>
      </c>
      <c r="C135" s="64">
        <v>-2263.62</v>
      </c>
      <c r="D135" s="54"/>
      <c r="E135" s="57"/>
      <c r="F135" s="55">
        <v>43956</v>
      </c>
      <c r="G135" s="56" t="s">
        <v>337</v>
      </c>
      <c r="H135" s="54"/>
    </row>
    <row r="136" spans="1:8">
      <c r="B136" s="44" t="s">
        <v>54</v>
      </c>
      <c r="C136" s="64">
        <v>-371.1</v>
      </c>
      <c r="D136" s="54"/>
      <c r="E136" s="54">
        <v>1849</v>
      </c>
      <c r="F136" s="55">
        <v>43958</v>
      </c>
      <c r="G136" s="51" t="s">
        <v>350</v>
      </c>
      <c r="H136" s="54"/>
    </row>
    <row r="137" spans="1:8">
      <c r="B137" s="44" t="s">
        <v>63</v>
      </c>
      <c r="C137" s="64">
        <v>-490</v>
      </c>
      <c r="D137" s="54"/>
      <c r="E137" s="54">
        <v>2681</v>
      </c>
      <c r="F137" s="55">
        <v>43958</v>
      </c>
      <c r="G137" s="51" t="s">
        <v>357</v>
      </c>
      <c r="H137" s="54"/>
    </row>
    <row r="138" spans="1:8">
      <c r="B138" s="44" t="s">
        <v>39</v>
      </c>
      <c r="C138" s="64">
        <v>-5818</v>
      </c>
      <c r="D138" s="54"/>
      <c r="E138" s="54">
        <v>181022</v>
      </c>
      <c r="F138" s="55">
        <v>43959</v>
      </c>
      <c r="G138" s="56" t="s">
        <v>269</v>
      </c>
      <c r="H138" s="54"/>
    </row>
    <row r="139" spans="1:8">
      <c r="A139" s="8" t="s">
        <v>70</v>
      </c>
      <c r="B139" s="44" t="s">
        <v>6</v>
      </c>
      <c r="C139" s="64">
        <f>(159*110)*-1</f>
        <v>-17490</v>
      </c>
      <c r="D139" s="54"/>
      <c r="E139" s="54">
        <v>235590</v>
      </c>
      <c r="F139" s="55">
        <v>43959</v>
      </c>
      <c r="G139" s="56" t="s">
        <v>216</v>
      </c>
      <c r="H139" s="54"/>
    </row>
    <row r="140" spans="1:8">
      <c r="A140" s="8" t="s">
        <v>17</v>
      </c>
      <c r="B140" s="44" t="s">
        <v>18</v>
      </c>
      <c r="C140" s="64">
        <f>(284*125)*-1</f>
        <v>-35500</v>
      </c>
      <c r="D140" s="54"/>
      <c r="E140" s="54">
        <v>1442051</v>
      </c>
      <c r="F140" s="55">
        <v>43959</v>
      </c>
      <c r="G140" s="56" t="s">
        <v>240</v>
      </c>
      <c r="H140" s="54"/>
    </row>
    <row r="141" spans="1:8">
      <c r="A141" s="8" t="s">
        <v>17</v>
      </c>
      <c r="B141" s="35" t="s">
        <v>21</v>
      </c>
      <c r="C141" s="64">
        <f>(52.5*125)*-1</f>
        <v>-6562.5</v>
      </c>
      <c r="D141" s="54"/>
      <c r="E141" s="54">
        <v>1442051</v>
      </c>
      <c r="F141" s="55">
        <v>43959</v>
      </c>
      <c r="G141" s="56" t="s">
        <v>247</v>
      </c>
      <c r="H141" s="54"/>
    </row>
    <row r="142" spans="1:8">
      <c r="A142" s="8" t="s">
        <v>17</v>
      </c>
      <c r="B142" s="44" t="s">
        <v>19</v>
      </c>
      <c r="C142" s="64">
        <f>(99.75*125)*-1</f>
        <v>-12468.75</v>
      </c>
      <c r="D142" s="54"/>
      <c r="E142" s="54">
        <v>1442052</v>
      </c>
      <c r="F142" s="55">
        <v>43959</v>
      </c>
      <c r="G142" s="56" t="s">
        <v>243</v>
      </c>
      <c r="H142" s="54"/>
    </row>
    <row r="143" spans="1:8">
      <c r="A143" s="8" t="s">
        <v>17</v>
      </c>
      <c r="B143" s="44" t="s">
        <v>20</v>
      </c>
      <c r="C143" s="64">
        <f>(9.75*125)*-1</f>
        <v>-1218.75</v>
      </c>
      <c r="D143" s="54"/>
      <c r="E143" s="54">
        <v>1442051</v>
      </c>
      <c r="F143" s="55">
        <v>43959</v>
      </c>
      <c r="G143" s="51" t="s">
        <v>245</v>
      </c>
      <c r="H143" s="54"/>
    </row>
    <row r="144" spans="1:8">
      <c r="B144" s="44" t="s">
        <v>31</v>
      </c>
      <c r="C144" s="64">
        <f>(3*110)*-1</f>
        <v>-330</v>
      </c>
      <c r="D144" s="54"/>
      <c r="E144" s="54">
        <v>1552487</v>
      </c>
      <c r="F144" s="55">
        <v>43959</v>
      </c>
      <c r="G144" s="56" t="s">
        <v>259</v>
      </c>
      <c r="H144" s="54"/>
    </row>
    <row r="145" spans="1:8">
      <c r="B145" s="44" t="s">
        <v>53</v>
      </c>
      <c r="C145" s="64">
        <v>-1120</v>
      </c>
      <c r="D145" s="54"/>
      <c r="E145" s="54">
        <v>2426</v>
      </c>
      <c r="F145" s="55">
        <v>43959</v>
      </c>
      <c r="G145" s="51" t="s">
        <v>349</v>
      </c>
      <c r="H145" s="54"/>
    </row>
    <row r="146" spans="1:8">
      <c r="A146" s="8" t="s">
        <v>70</v>
      </c>
      <c r="B146" s="44" t="s">
        <v>16</v>
      </c>
      <c r="C146" s="64">
        <f>(1250+59.8)*-1</f>
        <v>-1309.8</v>
      </c>
      <c r="D146" s="54"/>
      <c r="E146" s="57">
        <v>11915</v>
      </c>
      <c r="F146" s="55">
        <v>43963</v>
      </c>
      <c r="G146" s="56" t="s">
        <v>237</v>
      </c>
      <c r="H146" s="54"/>
    </row>
    <row r="147" spans="1:8">
      <c r="B147" s="44" t="s">
        <v>40</v>
      </c>
      <c r="C147" s="64">
        <v>-1750</v>
      </c>
      <c r="D147" s="54"/>
      <c r="E147" s="54">
        <v>15286</v>
      </c>
      <c r="F147" s="55">
        <v>43963</v>
      </c>
      <c r="G147" s="51" t="s">
        <v>274</v>
      </c>
      <c r="H147" s="54"/>
    </row>
    <row r="148" spans="1:8">
      <c r="B148" s="44" t="s">
        <v>39</v>
      </c>
      <c r="C148" s="64">
        <v>-500</v>
      </c>
      <c r="D148" s="54"/>
      <c r="E148" s="57">
        <v>181134</v>
      </c>
      <c r="F148" s="55">
        <v>43963</v>
      </c>
      <c r="G148" s="56" t="s">
        <v>271</v>
      </c>
      <c r="H148" s="54"/>
    </row>
    <row r="149" spans="1:8">
      <c r="A149" s="8" t="s">
        <v>70</v>
      </c>
      <c r="B149" s="44" t="s">
        <v>14</v>
      </c>
      <c r="C149" s="64">
        <v>-20.53</v>
      </c>
      <c r="D149" s="54"/>
      <c r="E149" s="57"/>
      <c r="F149" s="55">
        <v>43963</v>
      </c>
      <c r="G149" s="56" t="s">
        <v>234</v>
      </c>
      <c r="H149" s="54"/>
    </row>
    <row r="150" spans="1:8">
      <c r="A150" s="8" t="s">
        <v>17</v>
      </c>
      <c r="B150" s="44" t="s">
        <v>25</v>
      </c>
      <c r="C150" s="64">
        <f>(1.75*125)*-1</f>
        <v>-218.75</v>
      </c>
      <c r="D150" s="53"/>
      <c r="E150" s="57">
        <v>1443062</v>
      </c>
      <c r="F150" s="55">
        <v>43964</v>
      </c>
      <c r="G150" s="56" t="s">
        <v>183</v>
      </c>
      <c r="H150" s="54"/>
    </row>
    <row r="151" spans="1:8">
      <c r="B151" s="44" t="s">
        <v>52</v>
      </c>
      <c r="C151" s="64">
        <v>-779.35</v>
      </c>
      <c r="D151" s="53"/>
      <c r="E151" s="54">
        <v>33657598</v>
      </c>
      <c r="F151" s="55">
        <v>43965</v>
      </c>
      <c r="G151" s="51" t="s">
        <v>283</v>
      </c>
      <c r="H151" s="54"/>
    </row>
    <row r="152" spans="1:8">
      <c r="A152" s="8" t="s">
        <v>70</v>
      </c>
      <c r="B152" s="44" t="s">
        <v>8</v>
      </c>
      <c r="C152" s="64">
        <f>(22*110)*-1</f>
        <v>-2420</v>
      </c>
      <c r="D152" s="53"/>
      <c r="E152" s="57">
        <v>235779</v>
      </c>
      <c r="F152" s="55">
        <v>43965</v>
      </c>
      <c r="G152" s="57" t="s">
        <v>300</v>
      </c>
      <c r="H152" s="54"/>
    </row>
    <row r="153" spans="1:8">
      <c r="B153" s="44" t="s">
        <v>39</v>
      </c>
      <c r="C153" s="64">
        <v>-213.14</v>
      </c>
      <c r="D153" s="53"/>
      <c r="E153" s="54">
        <v>181253</v>
      </c>
      <c r="F153" s="55">
        <v>43966</v>
      </c>
      <c r="G153" s="51" t="s">
        <v>270</v>
      </c>
      <c r="H153" s="54"/>
    </row>
    <row r="154" spans="1:8">
      <c r="A154" s="8" t="s">
        <v>70</v>
      </c>
      <c r="B154" s="44" t="s">
        <v>6</v>
      </c>
      <c r="C154" s="64">
        <v>-42689.77</v>
      </c>
      <c r="D154" s="54"/>
      <c r="E154" s="54">
        <v>3086205</v>
      </c>
      <c r="F154" s="55">
        <v>43948</v>
      </c>
      <c r="G154" s="56" t="s">
        <v>215</v>
      </c>
      <c r="H154" s="54"/>
    </row>
    <row r="155" spans="1:8">
      <c r="A155" s="8" t="s">
        <v>70</v>
      </c>
      <c r="B155" s="44" t="s">
        <v>6</v>
      </c>
      <c r="C155" s="64">
        <v>-27271.17</v>
      </c>
      <c r="D155" s="54"/>
      <c r="E155" s="54">
        <v>3086205</v>
      </c>
      <c r="F155" s="55">
        <v>43948</v>
      </c>
      <c r="G155" s="56" t="s">
        <v>217</v>
      </c>
      <c r="H155" s="54"/>
    </row>
    <row r="156" spans="1:8">
      <c r="A156" s="8" t="s">
        <v>70</v>
      </c>
      <c r="B156" s="44" t="s">
        <v>7</v>
      </c>
      <c r="C156" s="64">
        <v>-12929.53</v>
      </c>
      <c r="D156" s="54"/>
      <c r="E156" s="54">
        <v>3086494</v>
      </c>
      <c r="F156" s="55">
        <v>43969</v>
      </c>
      <c r="G156" s="56" t="s">
        <v>220</v>
      </c>
      <c r="H156" s="54"/>
    </row>
    <row r="157" spans="1:8">
      <c r="B157" s="44" t="s">
        <v>41</v>
      </c>
      <c r="C157" s="64">
        <v>-500</v>
      </c>
      <c r="D157" s="54"/>
      <c r="E157" s="54">
        <v>69636</v>
      </c>
      <c r="F157" s="55">
        <v>43969</v>
      </c>
      <c r="G157" s="56" t="s">
        <v>345</v>
      </c>
      <c r="H157" s="54"/>
    </row>
    <row r="158" spans="1:8">
      <c r="B158" s="44" t="s">
        <v>52</v>
      </c>
      <c r="C158" s="64">
        <v>-1200.4000000000001</v>
      </c>
      <c r="D158" s="54"/>
      <c r="E158" s="54">
        <v>33657706</v>
      </c>
      <c r="F158" s="55">
        <v>43969</v>
      </c>
      <c r="G158" s="51" t="s">
        <v>348</v>
      </c>
      <c r="H158" s="54"/>
    </row>
    <row r="159" spans="1:8">
      <c r="B159" s="44" t="s">
        <v>41</v>
      </c>
      <c r="C159" s="64">
        <v>-2077.63</v>
      </c>
      <c r="D159" s="54"/>
      <c r="E159" s="54">
        <v>69548</v>
      </c>
      <c r="F159" s="55">
        <v>43970</v>
      </c>
      <c r="G159" s="56" t="s">
        <v>275</v>
      </c>
      <c r="H159" s="54"/>
    </row>
    <row r="160" spans="1:8">
      <c r="B160" s="44" t="s">
        <v>41</v>
      </c>
      <c r="C160" s="64">
        <v>-4117.5600000000004</v>
      </c>
      <c r="D160" s="54"/>
      <c r="E160" s="54">
        <v>69548</v>
      </c>
      <c r="F160" s="55">
        <v>43970</v>
      </c>
      <c r="G160" s="56" t="s">
        <v>199</v>
      </c>
      <c r="H160" s="54"/>
    </row>
    <row r="161" spans="1:8">
      <c r="B161" s="44" t="s">
        <v>41</v>
      </c>
      <c r="C161" s="64">
        <v>-500</v>
      </c>
      <c r="D161" s="54"/>
      <c r="E161" s="54">
        <v>69548</v>
      </c>
      <c r="F161" s="55">
        <v>43970</v>
      </c>
      <c r="G161" s="56" t="s">
        <v>200</v>
      </c>
      <c r="H161" s="54"/>
    </row>
    <row r="162" spans="1:8">
      <c r="B162" s="44" t="s">
        <v>41</v>
      </c>
      <c r="C162" s="64">
        <v>-500</v>
      </c>
      <c r="D162" s="54"/>
      <c r="E162" s="54">
        <v>69548</v>
      </c>
      <c r="F162" s="55">
        <v>43970</v>
      </c>
      <c r="G162" s="56" t="s">
        <v>277</v>
      </c>
      <c r="H162" s="54"/>
    </row>
    <row r="163" spans="1:8">
      <c r="B163" s="44" t="s">
        <v>40</v>
      </c>
      <c r="C163" s="64">
        <v>-75.08</v>
      </c>
      <c r="D163" s="54"/>
      <c r="E163" s="54">
        <v>15335</v>
      </c>
      <c r="F163" s="55">
        <v>43970</v>
      </c>
      <c r="G163" s="51" t="s">
        <v>273</v>
      </c>
      <c r="H163" s="54"/>
    </row>
    <row r="164" spans="1:8">
      <c r="B164" s="44" t="s">
        <v>41</v>
      </c>
      <c r="C164" s="64">
        <v>-61.41</v>
      </c>
      <c r="D164" s="54"/>
      <c r="E164" s="54">
        <v>69548</v>
      </c>
      <c r="F164" s="55">
        <v>43970</v>
      </c>
      <c r="G164" s="51" t="s">
        <v>276</v>
      </c>
      <c r="H164" s="54"/>
    </row>
    <row r="165" spans="1:8">
      <c r="B165" s="44" t="s">
        <v>37</v>
      </c>
      <c r="C165" s="64">
        <v>-24906.400000000001</v>
      </c>
      <c r="D165" s="53" t="s">
        <v>866</v>
      </c>
      <c r="E165" s="54"/>
      <c r="F165" s="55">
        <v>43972</v>
      </c>
      <c r="G165" s="56" t="s">
        <v>339</v>
      </c>
      <c r="H165" s="54"/>
    </row>
    <row r="166" spans="1:8">
      <c r="B166" s="44" t="s">
        <v>59</v>
      </c>
      <c r="C166" s="64">
        <v>-780.4</v>
      </c>
      <c r="D166" s="53"/>
      <c r="E166" s="54">
        <v>736053</v>
      </c>
      <c r="F166" s="55">
        <v>43973</v>
      </c>
      <c r="G166" s="56" t="s">
        <v>353</v>
      </c>
      <c r="H166" s="54"/>
    </row>
    <row r="167" spans="1:8">
      <c r="A167" s="8" t="s">
        <v>17</v>
      </c>
      <c r="B167" s="35" t="s">
        <v>21</v>
      </c>
      <c r="C167" s="67">
        <v>-25907.77</v>
      </c>
      <c r="D167" s="54"/>
      <c r="E167" s="60">
        <v>1443993</v>
      </c>
      <c r="F167" s="61">
        <v>43977</v>
      </c>
      <c r="G167" s="56" t="s">
        <v>176</v>
      </c>
      <c r="H167" s="54"/>
    </row>
    <row r="168" spans="1:8">
      <c r="A168" s="8" t="s">
        <v>17</v>
      </c>
      <c r="B168" s="44" t="s">
        <v>18</v>
      </c>
      <c r="C168" s="64">
        <v>-50807.51</v>
      </c>
      <c r="D168" s="54"/>
      <c r="E168" s="60">
        <v>1443993</v>
      </c>
      <c r="F168" s="61">
        <v>43977</v>
      </c>
      <c r="G168" s="56" t="s">
        <v>239</v>
      </c>
      <c r="H168" s="54"/>
    </row>
    <row r="169" spans="1:8">
      <c r="A169" s="8" t="s">
        <v>17</v>
      </c>
      <c r="B169" s="35" t="s">
        <v>21</v>
      </c>
      <c r="C169" s="64">
        <v>-23528.55</v>
      </c>
      <c r="D169" s="54"/>
      <c r="E169" s="60">
        <v>1443993</v>
      </c>
      <c r="F169" s="61">
        <v>43977</v>
      </c>
      <c r="G169" s="56" t="s">
        <v>246</v>
      </c>
      <c r="H169" s="54"/>
    </row>
    <row r="170" spans="1:8">
      <c r="A170" s="8" t="s">
        <v>17</v>
      </c>
      <c r="B170" s="35" t="s">
        <v>21</v>
      </c>
      <c r="C170" s="64">
        <v>-12309.47</v>
      </c>
      <c r="D170" s="54"/>
      <c r="E170" s="60">
        <v>1443993</v>
      </c>
      <c r="F170" s="61">
        <v>43977</v>
      </c>
      <c r="G170" s="56" t="s">
        <v>248</v>
      </c>
      <c r="H170" s="54"/>
    </row>
    <row r="171" spans="1:8">
      <c r="A171" s="8" t="s">
        <v>17</v>
      </c>
      <c r="B171" s="62" t="s">
        <v>22</v>
      </c>
      <c r="C171" s="64">
        <f>(243.25*125)*-1</f>
        <v>-30406.25</v>
      </c>
      <c r="D171" s="54"/>
      <c r="E171" s="60">
        <v>1443993</v>
      </c>
      <c r="F171" s="61">
        <v>43977</v>
      </c>
      <c r="G171" s="56" t="s">
        <v>250</v>
      </c>
      <c r="H171" s="54"/>
    </row>
    <row r="172" spans="1:8">
      <c r="A172" s="8" t="s">
        <v>17</v>
      </c>
      <c r="B172" s="44" t="s">
        <v>18</v>
      </c>
      <c r="C172" s="64">
        <v>-28979.61</v>
      </c>
      <c r="D172" s="54"/>
      <c r="E172" s="60">
        <v>1443993</v>
      </c>
      <c r="F172" s="61">
        <v>43977</v>
      </c>
      <c r="G172" s="56" t="s">
        <v>314</v>
      </c>
      <c r="H172" s="54"/>
    </row>
    <row r="173" spans="1:8">
      <c r="A173" s="8" t="s">
        <v>17</v>
      </c>
      <c r="B173" s="44" t="s">
        <v>19</v>
      </c>
      <c r="C173" s="64">
        <v>-25494.59</v>
      </c>
      <c r="D173" s="54"/>
      <c r="E173" s="60">
        <v>1443993</v>
      </c>
      <c r="F173" s="61">
        <v>43977</v>
      </c>
      <c r="G173" s="56" t="s">
        <v>317</v>
      </c>
      <c r="H173" s="54"/>
    </row>
    <row r="174" spans="1:8">
      <c r="A174" s="8" t="s">
        <v>17</v>
      </c>
      <c r="B174" s="35" t="s">
        <v>21</v>
      </c>
      <c r="C174" s="64">
        <v>-9581.7099999999991</v>
      </c>
      <c r="D174" s="54"/>
      <c r="E174" s="60">
        <v>1443993</v>
      </c>
      <c r="F174" s="61">
        <v>43977</v>
      </c>
      <c r="G174" s="56" t="s">
        <v>321</v>
      </c>
      <c r="H174" s="54"/>
    </row>
    <row r="175" spans="1:8">
      <c r="A175" s="8" t="s">
        <v>70</v>
      </c>
      <c r="B175" s="44" t="s">
        <v>15</v>
      </c>
      <c r="C175" s="64">
        <f>(3.75*110)*-1</f>
        <v>-412.5</v>
      </c>
      <c r="D175" s="51"/>
      <c r="E175" s="54">
        <v>236610</v>
      </c>
      <c r="F175" s="55">
        <v>43978</v>
      </c>
      <c r="G175" s="51" t="s">
        <v>313</v>
      </c>
      <c r="H175" s="54"/>
    </row>
    <row r="176" spans="1:8">
      <c r="A176" s="8" t="s">
        <v>70</v>
      </c>
      <c r="B176" s="44" t="s">
        <v>14</v>
      </c>
      <c r="C176" s="64">
        <f>(2*110)*-1</f>
        <v>-220</v>
      </c>
      <c r="D176" s="54"/>
      <c r="E176" s="54">
        <v>236772</v>
      </c>
      <c r="F176" s="55">
        <v>43979</v>
      </c>
      <c r="G176" s="56" t="s">
        <v>312</v>
      </c>
      <c r="H176" s="54"/>
    </row>
    <row r="177" spans="1:8">
      <c r="B177" s="44" t="s">
        <v>131</v>
      </c>
      <c r="C177" s="64">
        <v>-20833.330000000002</v>
      </c>
      <c r="D177" s="53" t="s">
        <v>866</v>
      </c>
      <c r="E177" s="54"/>
      <c r="F177" s="55">
        <v>43979</v>
      </c>
      <c r="G177" s="56" t="s">
        <v>347</v>
      </c>
      <c r="H177" s="54"/>
    </row>
    <row r="178" spans="1:8">
      <c r="A178" s="8" t="s">
        <v>70</v>
      </c>
      <c r="B178" s="44" t="s">
        <v>12</v>
      </c>
      <c r="C178" s="64">
        <f>(3*110)*-1</f>
        <v>-330</v>
      </c>
      <c r="D178" s="54"/>
      <c r="E178" s="54">
        <v>236772</v>
      </c>
      <c r="F178" s="55">
        <v>43979</v>
      </c>
      <c r="G178" s="56" t="s">
        <v>309</v>
      </c>
      <c r="H178" s="54"/>
    </row>
    <row r="179" spans="1:8">
      <c r="A179" s="8" t="s">
        <v>70</v>
      </c>
      <c r="B179" s="44" t="s">
        <v>13</v>
      </c>
      <c r="C179" s="64">
        <v>-100</v>
      </c>
      <c r="D179" s="54"/>
      <c r="E179" s="54">
        <v>236772</v>
      </c>
      <c r="F179" s="55">
        <v>43979</v>
      </c>
      <c r="G179" s="51" t="s">
        <v>310</v>
      </c>
      <c r="H179" s="54"/>
    </row>
    <row r="180" spans="1:8">
      <c r="A180" s="8" t="s">
        <v>70</v>
      </c>
      <c r="B180" s="44" t="s">
        <v>10</v>
      </c>
      <c r="C180" s="64">
        <v>-218.63</v>
      </c>
      <c r="D180" s="54"/>
      <c r="E180" s="54">
        <v>3086580</v>
      </c>
      <c r="F180" s="55">
        <v>43980</v>
      </c>
      <c r="G180" s="57" t="s">
        <v>303</v>
      </c>
      <c r="H180" s="54"/>
    </row>
    <row r="181" spans="1:8">
      <c r="B181" s="44" t="s">
        <v>37</v>
      </c>
      <c r="C181" s="64">
        <f>(84.5*150)*-1</f>
        <v>-12675</v>
      </c>
      <c r="D181" s="53" t="s">
        <v>866</v>
      </c>
      <c r="E181" s="54"/>
      <c r="F181" s="55">
        <v>43980</v>
      </c>
      <c r="G181" s="56" t="s">
        <v>340</v>
      </c>
      <c r="H181" s="54"/>
    </row>
    <row r="182" spans="1:8">
      <c r="A182" s="8" t="s">
        <v>70</v>
      </c>
      <c r="B182" s="44" t="s">
        <v>7</v>
      </c>
      <c r="C182" s="64">
        <v>-15552.98</v>
      </c>
      <c r="D182" s="54"/>
      <c r="E182" s="54">
        <v>3086680</v>
      </c>
      <c r="F182" s="55">
        <v>43983</v>
      </c>
      <c r="G182" s="56" t="s">
        <v>76</v>
      </c>
      <c r="H182" s="54"/>
    </row>
    <row r="183" spans="1:8">
      <c r="A183" s="8" t="s">
        <v>70</v>
      </c>
      <c r="B183" s="44" t="s">
        <v>6</v>
      </c>
      <c r="C183" s="64">
        <f>(163.25*110)*-1</f>
        <v>-17957.5</v>
      </c>
      <c r="D183" s="54"/>
      <c r="E183" s="54">
        <v>242519</v>
      </c>
      <c r="F183" s="55">
        <v>44061</v>
      </c>
      <c r="G183" s="56" t="s">
        <v>294</v>
      </c>
      <c r="H183" s="54"/>
    </row>
    <row r="184" spans="1:8">
      <c r="A184" s="8" t="s">
        <v>70</v>
      </c>
      <c r="B184" s="44" t="s">
        <v>8</v>
      </c>
      <c r="C184" s="64">
        <v>-2089.5100000000002</v>
      </c>
      <c r="D184" s="54"/>
      <c r="E184" s="54">
        <v>3086680</v>
      </c>
      <c r="F184" s="55">
        <v>43983</v>
      </c>
      <c r="G184" s="57" t="s">
        <v>299</v>
      </c>
      <c r="H184" s="54"/>
    </row>
    <row r="185" spans="1:8">
      <c r="A185" s="8" t="s">
        <v>70</v>
      </c>
      <c r="B185" s="44" t="s">
        <v>9</v>
      </c>
      <c r="C185" s="64">
        <v>-3946.11</v>
      </c>
      <c r="D185" s="54"/>
      <c r="E185" s="54">
        <v>3086680</v>
      </c>
      <c r="F185" s="55">
        <v>43983</v>
      </c>
      <c r="G185" s="57" t="s">
        <v>301</v>
      </c>
      <c r="H185" s="54"/>
    </row>
    <row r="186" spans="1:8">
      <c r="A186" s="8" t="s">
        <v>70</v>
      </c>
      <c r="B186" s="44" t="s">
        <v>14</v>
      </c>
      <c r="C186" s="64">
        <v>-210.27</v>
      </c>
      <c r="D186" s="54"/>
      <c r="E186" s="54">
        <v>3086680</v>
      </c>
      <c r="F186" s="55">
        <v>43983</v>
      </c>
      <c r="G186" s="56" t="s">
        <v>311</v>
      </c>
      <c r="H186" s="54"/>
    </row>
    <row r="187" spans="1:8">
      <c r="A187" s="8" t="s">
        <v>70</v>
      </c>
      <c r="B187" s="44" t="s">
        <v>6</v>
      </c>
      <c r="C187" s="64">
        <v>-18250.62</v>
      </c>
      <c r="D187" s="54"/>
      <c r="E187" s="54">
        <v>3089126</v>
      </c>
      <c r="F187" s="55">
        <v>44166</v>
      </c>
      <c r="G187" s="56" t="s">
        <v>293</v>
      </c>
      <c r="H187" s="54"/>
    </row>
    <row r="188" spans="1:8">
      <c r="A188" s="8" t="s">
        <v>70</v>
      </c>
      <c r="B188" s="44" t="s">
        <v>7</v>
      </c>
      <c r="C188" s="64">
        <v>-17541.66</v>
      </c>
      <c r="D188" s="54"/>
      <c r="E188" s="54">
        <v>3086680</v>
      </c>
      <c r="F188" s="55">
        <v>43983</v>
      </c>
      <c r="G188" s="56" t="s">
        <v>361</v>
      </c>
      <c r="H188" s="54"/>
    </row>
    <row r="189" spans="1:8">
      <c r="B189" s="44" t="s">
        <v>60</v>
      </c>
      <c r="C189" s="64">
        <v>-1160</v>
      </c>
      <c r="D189" s="54"/>
      <c r="E189" s="54">
        <v>421873</v>
      </c>
      <c r="F189" s="55">
        <v>43985</v>
      </c>
      <c r="G189" s="56" t="s">
        <v>354</v>
      </c>
      <c r="H189" s="54"/>
    </row>
    <row r="190" spans="1:8">
      <c r="A190" s="8" t="s">
        <v>70</v>
      </c>
      <c r="B190" s="44" t="s">
        <v>10</v>
      </c>
      <c r="C190" s="64">
        <f>(4*110)*-1</f>
        <v>-440</v>
      </c>
      <c r="D190" s="54"/>
      <c r="E190" s="54">
        <v>236936</v>
      </c>
      <c r="F190" s="55">
        <v>43986</v>
      </c>
      <c r="G190" s="57" t="s">
        <v>304</v>
      </c>
      <c r="H190" s="54"/>
    </row>
    <row r="191" spans="1:8">
      <c r="A191" s="8" t="s">
        <v>70</v>
      </c>
      <c r="B191" s="44" t="s">
        <v>9</v>
      </c>
      <c r="C191" s="64">
        <f>(3.25*110)*-1</f>
        <v>-357.5</v>
      </c>
      <c r="D191" s="54"/>
      <c r="E191" s="54">
        <v>237518</v>
      </c>
      <c r="F191" s="55">
        <v>43986</v>
      </c>
      <c r="G191" s="57" t="s">
        <v>302</v>
      </c>
      <c r="H191" s="54"/>
    </row>
    <row r="192" spans="1:8">
      <c r="B192" s="44" t="s">
        <v>36</v>
      </c>
      <c r="C192" s="64">
        <v>-5355.75</v>
      </c>
      <c r="D192" s="53" t="s">
        <v>866</v>
      </c>
      <c r="E192" s="54"/>
      <c r="F192" s="55">
        <v>43987</v>
      </c>
      <c r="G192" s="56" t="s">
        <v>402</v>
      </c>
      <c r="H192" s="54"/>
    </row>
    <row r="193" spans="1:8">
      <c r="A193" s="8" t="s">
        <v>17</v>
      </c>
      <c r="B193" s="44" t="s">
        <v>19</v>
      </c>
      <c r="C193" s="64">
        <v>-55817.78</v>
      </c>
      <c r="D193" s="54"/>
      <c r="E193" s="54">
        <v>1447476</v>
      </c>
      <c r="F193" s="55">
        <v>43990</v>
      </c>
      <c r="G193" s="56" t="s">
        <v>101</v>
      </c>
      <c r="H193" s="54"/>
    </row>
    <row r="194" spans="1:8">
      <c r="B194" s="44" t="s">
        <v>39</v>
      </c>
      <c r="C194" s="64">
        <v>-4069</v>
      </c>
      <c r="D194" s="54"/>
      <c r="E194" s="54">
        <v>181611</v>
      </c>
      <c r="F194" s="55">
        <v>43990</v>
      </c>
      <c r="G194" s="56" t="s">
        <v>341</v>
      </c>
      <c r="H194" s="54"/>
    </row>
    <row r="195" spans="1:8">
      <c r="B195" s="44" t="s">
        <v>41</v>
      </c>
      <c r="C195" s="64">
        <v>-1004.5</v>
      </c>
      <c r="D195" s="54"/>
      <c r="E195" s="54">
        <v>69950</v>
      </c>
      <c r="F195" s="55">
        <v>43990</v>
      </c>
      <c r="G195" s="56" t="s">
        <v>344</v>
      </c>
      <c r="H195" s="54"/>
    </row>
    <row r="196" spans="1:8">
      <c r="A196" s="8" t="s">
        <v>17</v>
      </c>
      <c r="B196" s="44" t="s">
        <v>18</v>
      </c>
      <c r="C196" s="64">
        <f>(322*125)*-1</f>
        <v>-40250</v>
      </c>
      <c r="D196" s="54"/>
      <c r="E196" s="54">
        <v>1447476</v>
      </c>
      <c r="F196" s="55">
        <v>43990</v>
      </c>
      <c r="G196" s="56" t="s">
        <v>315</v>
      </c>
      <c r="H196" s="54"/>
    </row>
    <row r="197" spans="1:8">
      <c r="A197" s="8" t="s">
        <v>17</v>
      </c>
      <c r="B197" s="44" t="s">
        <v>19</v>
      </c>
      <c r="C197" s="64">
        <f>(87.5*125)*-1</f>
        <v>-10937.5</v>
      </c>
      <c r="D197" s="54"/>
      <c r="E197" s="54">
        <v>1447476</v>
      </c>
      <c r="F197" s="55">
        <v>43990</v>
      </c>
      <c r="G197" s="56" t="s">
        <v>318</v>
      </c>
      <c r="H197" s="54"/>
    </row>
    <row r="198" spans="1:8">
      <c r="A198" s="8" t="s">
        <v>17</v>
      </c>
      <c r="B198" s="35" t="s">
        <v>21</v>
      </c>
      <c r="C198" s="64">
        <f>(44*125)*-1</f>
        <v>-5500</v>
      </c>
      <c r="D198" s="54"/>
      <c r="E198" s="54">
        <v>1447476</v>
      </c>
      <c r="F198" s="55">
        <v>43990</v>
      </c>
      <c r="G198" s="56" t="s">
        <v>322</v>
      </c>
      <c r="H198" s="54"/>
    </row>
    <row r="199" spans="1:8">
      <c r="B199" s="44" t="s">
        <v>39</v>
      </c>
      <c r="C199" s="64">
        <v>-500</v>
      </c>
      <c r="D199" s="54"/>
      <c r="E199" s="57">
        <v>181611</v>
      </c>
      <c r="F199" s="55">
        <v>43990</v>
      </c>
      <c r="G199" s="56" t="s">
        <v>342</v>
      </c>
      <c r="H199" s="54"/>
    </row>
    <row r="200" spans="1:8">
      <c r="A200" s="8" t="s">
        <v>17</v>
      </c>
      <c r="B200" s="44" t="s">
        <v>20</v>
      </c>
      <c r="C200" s="64">
        <f>(5*125)*-1</f>
        <v>-625</v>
      </c>
      <c r="D200" s="54"/>
      <c r="E200" s="54">
        <v>1447276</v>
      </c>
      <c r="F200" s="55">
        <v>43990</v>
      </c>
      <c r="G200" s="51" t="s">
        <v>320</v>
      </c>
      <c r="H200" s="54"/>
    </row>
    <row r="201" spans="1:8">
      <c r="A201" s="8" t="s">
        <v>17</v>
      </c>
      <c r="B201" s="35" t="s">
        <v>21</v>
      </c>
      <c r="C201" s="64">
        <v>-13662.89</v>
      </c>
      <c r="D201" s="54"/>
      <c r="E201" s="54">
        <v>1447476</v>
      </c>
      <c r="F201" s="55">
        <v>43990</v>
      </c>
      <c r="G201" s="56" t="s">
        <v>386</v>
      </c>
      <c r="H201" s="54"/>
    </row>
    <row r="202" spans="1:8">
      <c r="A202" s="8" t="s">
        <v>17</v>
      </c>
      <c r="B202" s="62" t="s">
        <v>22</v>
      </c>
      <c r="C202" s="64">
        <v>-7382.4</v>
      </c>
      <c r="D202" s="54"/>
      <c r="E202" s="54">
        <v>1449607</v>
      </c>
      <c r="F202" s="55">
        <v>43992</v>
      </c>
      <c r="G202" s="56" t="s">
        <v>249</v>
      </c>
      <c r="H202" s="54"/>
    </row>
    <row r="203" spans="1:8">
      <c r="A203" s="8" t="s">
        <v>17</v>
      </c>
      <c r="B203" s="62" t="s">
        <v>23</v>
      </c>
      <c r="C203" s="64">
        <v>-5842.92</v>
      </c>
      <c r="D203" s="54"/>
      <c r="E203" s="54">
        <v>1449607</v>
      </c>
      <c r="F203" s="55">
        <v>43992</v>
      </c>
      <c r="G203" s="56" t="s">
        <v>252</v>
      </c>
      <c r="H203" s="54"/>
    </row>
    <row r="204" spans="1:8">
      <c r="A204" s="8" t="s">
        <v>70</v>
      </c>
      <c r="B204" s="44" t="s">
        <v>7</v>
      </c>
      <c r="C204" s="64">
        <v>-7869.08</v>
      </c>
      <c r="D204" s="54"/>
      <c r="E204" s="54">
        <v>3086679</v>
      </c>
      <c r="F204" s="55">
        <v>43992</v>
      </c>
      <c r="G204" s="56" t="s">
        <v>298</v>
      </c>
      <c r="H204" s="54"/>
    </row>
    <row r="205" spans="1:8">
      <c r="A205" s="8" t="s">
        <v>70</v>
      </c>
      <c r="B205" s="44" t="s">
        <v>11</v>
      </c>
      <c r="C205" s="64">
        <v>-1182.6300000000001</v>
      </c>
      <c r="D205" s="54"/>
      <c r="E205" s="54">
        <v>3086679</v>
      </c>
      <c r="F205" s="55">
        <v>43992</v>
      </c>
      <c r="G205" s="56" t="s">
        <v>305</v>
      </c>
      <c r="H205" s="54"/>
    </row>
    <row r="206" spans="1:8">
      <c r="B206" s="44" t="s">
        <v>40</v>
      </c>
      <c r="C206" s="64">
        <v>-804.55</v>
      </c>
      <c r="D206" s="54"/>
      <c r="E206" s="54">
        <v>15483</v>
      </c>
      <c r="F206" s="55">
        <v>43992</v>
      </c>
      <c r="G206" s="51" t="s">
        <v>343</v>
      </c>
      <c r="H206" s="54"/>
    </row>
    <row r="207" spans="1:8">
      <c r="A207" s="8" t="s">
        <v>17</v>
      </c>
      <c r="B207" s="44" t="s">
        <v>25</v>
      </c>
      <c r="C207" s="66">
        <v>-62.5</v>
      </c>
      <c r="D207" s="54"/>
      <c r="E207" s="57">
        <v>1449607</v>
      </c>
      <c r="F207" s="55">
        <v>43992</v>
      </c>
      <c r="G207" s="56" t="s">
        <v>331</v>
      </c>
      <c r="H207" s="54"/>
    </row>
    <row r="208" spans="1:8">
      <c r="B208" s="44" t="s">
        <v>54</v>
      </c>
      <c r="C208" s="64">
        <v>-530.14</v>
      </c>
      <c r="D208" s="54"/>
      <c r="E208" s="54">
        <v>1861</v>
      </c>
      <c r="F208" s="55">
        <v>43992</v>
      </c>
      <c r="G208" s="51" t="s">
        <v>417</v>
      </c>
      <c r="H208" s="54"/>
    </row>
    <row r="209" spans="1:8">
      <c r="B209" s="44" t="s">
        <v>53</v>
      </c>
      <c r="C209" s="64">
        <v>-1435</v>
      </c>
      <c r="D209" s="54"/>
      <c r="E209" s="54">
        <v>2431</v>
      </c>
      <c r="F209" s="55">
        <v>43993</v>
      </c>
      <c r="G209" s="51" t="s">
        <v>416</v>
      </c>
      <c r="H209" s="54"/>
    </row>
    <row r="210" spans="1:8">
      <c r="B210" s="35" t="s">
        <v>57</v>
      </c>
      <c r="C210" s="64">
        <v>-70</v>
      </c>
      <c r="D210" s="54"/>
      <c r="E210" s="54">
        <v>81434</v>
      </c>
      <c r="F210" s="55">
        <v>43993</v>
      </c>
      <c r="G210" s="51" t="s">
        <v>351</v>
      </c>
      <c r="H210" s="54"/>
    </row>
    <row r="211" spans="1:8">
      <c r="A211" s="8" t="s">
        <v>70</v>
      </c>
      <c r="B211" s="44" t="s">
        <v>11</v>
      </c>
      <c r="C211" s="64">
        <v>-8797.2199999999993</v>
      </c>
      <c r="D211" s="54"/>
      <c r="E211" s="54">
        <v>3086844</v>
      </c>
      <c r="F211" s="55">
        <v>43997</v>
      </c>
      <c r="G211" s="56" t="s">
        <v>86</v>
      </c>
      <c r="H211" s="54"/>
    </row>
    <row r="212" spans="1:8">
      <c r="A212" s="8" t="s">
        <v>17</v>
      </c>
      <c r="B212" s="62" t="s">
        <v>22</v>
      </c>
      <c r="C212" s="64">
        <v>-5590.9</v>
      </c>
      <c r="D212" s="54"/>
      <c r="E212" s="54">
        <v>1450643</v>
      </c>
      <c r="F212" s="55">
        <v>43997</v>
      </c>
      <c r="G212" s="56" t="s">
        <v>324</v>
      </c>
      <c r="H212" s="54"/>
    </row>
    <row r="213" spans="1:8">
      <c r="A213" s="8" t="s">
        <v>17</v>
      </c>
      <c r="B213" s="62" t="s">
        <v>23</v>
      </c>
      <c r="C213" s="64">
        <v>-3664.26</v>
      </c>
      <c r="D213" s="54"/>
      <c r="E213" s="54">
        <v>1450643</v>
      </c>
      <c r="F213" s="55">
        <v>43997</v>
      </c>
      <c r="G213" s="56" t="s">
        <v>328</v>
      </c>
      <c r="H213" s="54"/>
    </row>
    <row r="214" spans="1:8">
      <c r="B214" s="44" t="s">
        <v>31</v>
      </c>
      <c r="C214" s="64">
        <v>-3403.52</v>
      </c>
      <c r="D214" s="54"/>
      <c r="E214" s="54">
        <v>1602167</v>
      </c>
      <c r="F214" s="55">
        <v>43997</v>
      </c>
      <c r="G214" s="56" t="s">
        <v>333</v>
      </c>
      <c r="H214" s="54"/>
    </row>
    <row r="215" spans="1:8">
      <c r="A215" s="8" t="s">
        <v>17</v>
      </c>
      <c r="B215" s="62" t="s">
        <v>22</v>
      </c>
      <c r="C215" s="64">
        <f>(242.75*125)*-1</f>
        <v>-30343.75</v>
      </c>
      <c r="D215" s="54"/>
      <c r="E215" s="57">
        <v>1450643</v>
      </c>
      <c r="F215" s="55">
        <v>43997</v>
      </c>
      <c r="G215" s="56" t="s">
        <v>325</v>
      </c>
      <c r="H215" s="54"/>
    </row>
    <row r="216" spans="1:8">
      <c r="B216" s="44" t="s">
        <v>31</v>
      </c>
      <c r="C216" s="64">
        <f>(2.75*110)*-1</f>
        <v>-302.5</v>
      </c>
      <c r="D216" s="54"/>
      <c r="E216" s="54">
        <v>1602167</v>
      </c>
      <c r="F216" s="55">
        <v>43997</v>
      </c>
      <c r="G216" s="56" t="s">
        <v>334</v>
      </c>
      <c r="H216" s="54"/>
    </row>
    <row r="217" spans="1:8">
      <c r="B217" s="44" t="s">
        <v>63</v>
      </c>
      <c r="C217" s="64">
        <v>-595</v>
      </c>
      <c r="D217" s="54"/>
      <c r="E217" s="54">
        <v>2685</v>
      </c>
      <c r="F217" s="55">
        <v>43997</v>
      </c>
      <c r="G217" s="51" t="s">
        <v>425</v>
      </c>
      <c r="H217" s="54"/>
    </row>
    <row r="218" spans="1:8">
      <c r="A218" s="8" t="s">
        <v>70</v>
      </c>
      <c r="B218" s="44" t="s">
        <v>14</v>
      </c>
      <c r="C218" s="64">
        <f>(3.5*110)*-1</f>
        <v>-385</v>
      </c>
      <c r="D218" s="54"/>
      <c r="E218" s="54">
        <v>237834</v>
      </c>
      <c r="F218" s="55">
        <v>43998</v>
      </c>
      <c r="G218" s="56" t="s">
        <v>377</v>
      </c>
      <c r="H218" s="54"/>
    </row>
    <row r="219" spans="1:8">
      <c r="B219" s="44" t="s">
        <v>37</v>
      </c>
      <c r="C219" s="64">
        <v>-33542.76</v>
      </c>
      <c r="D219" s="53" t="s">
        <v>866</v>
      </c>
      <c r="E219" s="54"/>
      <c r="F219" s="55">
        <v>44000</v>
      </c>
      <c r="G219" s="56" t="s">
        <v>404</v>
      </c>
      <c r="H219" s="54"/>
    </row>
    <row r="220" spans="1:8">
      <c r="B220" s="44" t="s">
        <v>37</v>
      </c>
      <c r="C220" s="64">
        <f>(69*150)*-1</f>
        <v>-10350</v>
      </c>
      <c r="D220" s="53" t="s">
        <v>866</v>
      </c>
      <c r="E220" s="54"/>
      <c r="F220" s="55">
        <v>44000</v>
      </c>
      <c r="G220" s="56" t="s">
        <v>406</v>
      </c>
      <c r="H220" s="54"/>
    </row>
    <row r="221" spans="1:8">
      <c r="A221" s="8" t="s">
        <v>70</v>
      </c>
      <c r="B221" s="44" t="s">
        <v>10</v>
      </c>
      <c r="C221" s="64">
        <f>(8.5*110)*-1</f>
        <v>-935</v>
      </c>
      <c r="D221" s="54"/>
      <c r="E221" s="54">
        <v>237915</v>
      </c>
      <c r="F221" s="55">
        <v>44000</v>
      </c>
      <c r="G221" s="57" t="s">
        <v>370</v>
      </c>
      <c r="H221" s="54"/>
    </row>
    <row r="222" spans="1:8">
      <c r="A222" s="8" t="s">
        <v>70</v>
      </c>
      <c r="B222" s="44" t="s">
        <v>12</v>
      </c>
      <c r="C222" s="64">
        <f>(5*110)*-1</f>
        <v>-550</v>
      </c>
      <c r="D222" s="54"/>
      <c r="E222" s="54">
        <v>237916</v>
      </c>
      <c r="F222" s="55">
        <v>44000</v>
      </c>
      <c r="G222" s="56" t="s">
        <v>374</v>
      </c>
      <c r="H222" s="54"/>
    </row>
    <row r="223" spans="1:8">
      <c r="A223" s="8" t="s">
        <v>70</v>
      </c>
      <c r="B223" s="44" t="s">
        <v>13</v>
      </c>
      <c r="C223" s="64">
        <v>-100</v>
      </c>
      <c r="D223" s="54"/>
      <c r="E223" s="54">
        <v>237916</v>
      </c>
      <c r="F223" s="55">
        <v>44000</v>
      </c>
      <c r="G223" s="51" t="s">
        <v>375</v>
      </c>
      <c r="H223" s="54"/>
    </row>
    <row r="224" spans="1:8">
      <c r="B224" s="44" t="s">
        <v>59</v>
      </c>
      <c r="C224" s="64">
        <v>-1280.45</v>
      </c>
      <c r="D224" s="54"/>
      <c r="E224" s="54">
        <v>737106</v>
      </c>
      <c r="F224" s="55">
        <v>44000</v>
      </c>
      <c r="G224" s="51" t="s">
        <v>422</v>
      </c>
      <c r="H224" s="54"/>
    </row>
    <row r="225" spans="1:8">
      <c r="B225" s="44" t="s">
        <v>60</v>
      </c>
      <c r="C225" s="64">
        <v>-850</v>
      </c>
      <c r="D225" s="54"/>
      <c r="E225" s="54">
        <v>422325</v>
      </c>
      <c r="F225" s="55">
        <v>44001</v>
      </c>
      <c r="G225" s="51" t="s">
        <v>423</v>
      </c>
      <c r="H225" s="54"/>
    </row>
    <row r="226" spans="1:8">
      <c r="A226" s="8" t="s">
        <v>70</v>
      </c>
      <c r="B226" s="44" t="s">
        <v>14</v>
      </c>
      <c r="C226" s="64">
        <v>-822.41</v>
      </c>
      <c r="D226" s="54"/>
      <c r="E226" s="54">
        <v>3086942</v>
      </c>
      <c r="F226" s="55">
        <v>44004</v>
      </c>
      <c r="G226" s="56" t="s">
        <v>91</v>
      </c>
      <c r="H226" s="54"/>
    </row>
    <row r="227" spans="1:8">
      <c r="A227" s="8" t="s">
        <v>70</v>
      </c>
      <c r="B227" s="44" t="s">
        <v>12</v>
      </c>
      <c r="C227" s="64">
        <v>-1596.31</v>
      </c>
      <c r="D227" s="54"/>
      <c r="E227" s="54">
        <v>3086942</v>
      </c>
      <c r="F227" s="55">
        <v>44004</v>
      </c>
      <c r="G227" s="56" t="s">
        <v>160</v>
      </c>
      <c r="H227" s="54"/>
    </row>
    <row r="228" spans="1:8">
      <c r="A228" s="8" t="s">
        <v>70</v>
      </c>
      <c r="B228" s="44" t="s">
        <v>9</v>
      </c>
      <c r="C228" s="64">
        <v>-2296.56</v>
      </c>
      <c r="D228" s="54"/>
      <c r="E228" s="54">
        <v>3086942</v>
      </c>
      <c r="F228" s="55">
        <v>44004</v>
      </c>
      <c r="G228" s="57" t="s">
        <v>223</v>
      </c>
      <c r="H228" s="54"/>
    </row>
    <row r="229" spans="1:8">
      <c r="A229" s="8" t="s">
        <v>70</v>
      </c>
      <c r="B229" s="44" t="s">
        <v>6</v>
      </c>
      <c r="C229" s="64">
        <v>-18503.62</v>
      </c>
      <c r="D229" s="54"/>
      <c r="E229" s="54">
        <v>3086680</v>
      </c>
      <c r="F229" s="55">
        <v>43983</v>
      </c>
      <c r="G229" s="56" t="s">
        <v>295</v>
      </c>
      <c r="H229" s="54"/>
    </row>
    <row r="230" spans="1:8">
      <c r="A230" s="8" t="s">
        <v>70</v>
      </c>
      <c r="B230" s="44" t="s">
        <v>7</v>
      </c>
      <c r="C230" s="64">
        <v>-16201.05</v>
      </c>
      <c r="D230" s="54"/>
      <c r="E230" s="54">
        <v>3086942</v>
      </c>
      <c r="F230" s="55">
        <v>44004</v>
      </c>
      <c r="G230" s="56" t="s">
        <v>363</v>
      </c>
      <c r="H230" s="54"/>
    </row>
    <row r="231" spans="1:8">
      <c r="A231" s="8" t="s">
        <v>70</v>
      </c>
      <c r="B231" s="44" t="s">
        <v>10</v>
      </c>
      <c r="C231" s="64">
        <v>-212.79</v>
      </c>
      <c r="D231" s="54"/>
      <c r="E231" s="54">
        <v>3086942</v>
      </c>
      <c r="F231" s="55">
        <v>44004</v>
      </c>
      <c r="G231" s="57" t="s">
        <v>369</v>
      </c>
      <c r="H231" s="54"/>
    </row>
    <row r="232" spans="1:8">
      <c r="A232" s="8" t="s">
        <v>70</v>
      </c>
      <c r="B232" s="44" t="s">
        <v>11</v>
      </c>
      <c r="C232" s="64">
        <v>-3262.21</v>
      </c>
      <c r="D232" s="54"/>
      <c r="E232" s="54">
        <v>3086942</v>
      </c>
      <c r="F232" s="55">
        <v>44004</v>
      </c>
      <c r="G232" s="56" t="s">
        <v>371</v>
      </c>
      <c r="H232" s="54"/>
    </row>
    <row r="233" spans="1:8">
      <c r="A233" s="8" t="s">
        <v>70</v>
      </c>
      <c r="B233" s="44" t="s">
        <v>12</v>
      </c>
      <c r="C233" s="64">
        <v>-845.98</v>
      </c>
      <c r="D233" s="54"/>
      <c r="E233" s="54">
        <v>3086942</v>
      </c>
      <c r="F233" s="55">
        <v>44004</v>
      </c>
      <c r="G233" s="56" t="s">
        <v>373</v>
      </c>
      <c r="H233" s="54"/>
    </row>
    <row r="234" spans="1:8">
      <c r="A234" s="8" t="s">
        <v>70</v>
      </c>
      <c r="B234" s="44" t="s">
        <v>14</v>
      </c>
      <c r="C234" s="64">
        <v>-837.27</v>
      </c>
      <c r="D234" s="54"/>
      <c r="E234" s="54">
        <v>3086942</v>
      </c>
      <c r="F234" s="55">
        <v>44004</v>
      </c>
      <c r="G234" s="56" t="s">
        <v>376</v>
      </c>
      <c r="H234" s="54"/>
    </row>
    <row r="235" spans="1:8">
      <c r="B235" s="44" t="s">
        <v>41</v>
      </c>
      <c r="C235" s="64">
        <v>-1666</v>
      </c>
      <c r="D235" s="54"/>
      <c r="E235" s="54">
        <v>70107</v>
      </c>
      <c r="F235" s="55">
        <v>44004</v>
      </c>
      <c r="G235" s="56" t="s">
        <v>410</v>
      </c>
      <c r="H235" s="54"/>
    </row>
    <row r="236" spans="1:8">
      <c r="B236" s="44" t="s">
        <v>41</v>
      </c>
      <c r="C236" s="64">
        <v>-500</v>
      </c>
      <c r="D236" s="54"/>
      <c r="E236" s="54">
        <v>70107</v>
      </c>
      <c r="F236" s="55">
        <v>44004</v>
      </c>
      <c r="G236" s="56" t="s">
        <v>411</v>
      </c>
      <c r="H236" s="54"/>
    </row>
    <row r="237" spans="1:8">
      <c r="B237" s="44" t="s">
        <v>52</v>
      </c>
      <c r="C237" s="64">
        <v>-965.45</v>
      </c>
      <c r="D237" s="54"/>
      <c r="E237" s="54">
        <v>33658971</v>
      </c>
      <c r="F237" s="55">
        <v>44004</v>
      </c>
      <c r="G237" s="51" t="s">
        <v>415</v>
      </c>
      <c r="H237" s="54"/>
    </row>
    <row r="238" spans="1:8">
      <c r="B238" s="44" t="s">
        <v>36</v>
      </c>
      <c r="C238" s="64">
        <v>-6269.33</v>
      </c>
      <c r="D238" s="53" t="s">
        <v>866</v>
      </c>
      <c r="E238" s="54"/>
      <c r="F238" s="55">
        <v>44005</v>
      </c>
      <c r="G238" s="56" t="s">
        <v>403</v>
      </c>
      <c r="H238" s="54"/>
    </row>
    <row r="239" spans="1:8">
      <c r="A239" s="8" t="s">
        <v>70</v>
      </c>
      <c r="B239" s="44" t="s">
        <v>6</v>
      </c>
      <c r="C239" s="64">
        <f>(113.25*110)*-1</f>
        <v>-12457.5</v>
      </c>
      <c r="D239" s="53"/>
      <c r="E239" s="54">
        <v>238589</v>
      </c>
      <c r="F239" s="55">
        <v>44006</v>
      </c>
      <c r="G239" s="56" t="s">
        <v>359</v>
      </c>
      <c r="H239" s="54"/>
    </row>
    <row r="240" spans="1:8">
      <c r="A240" s="8" t="s">
        <v>70</v>
      </c>
      <c r="B240" s="44" t="s">
        <v>11</v>
      </c>
      <c r="C240" s="64">
        <f>(9*110)*-1</f>
        <v>-990</v>
      </c>
      <c r="D240" s="53"/>
      <c r="E240" s="54">
        <v>238589</v>
      </c>
      <c r="F240" s="55">
        <v>44006</v>
      </c>
      <c r="G240" s="56" t="s">
        <v>372</v>
      </c>
      <c r="H240" s="54"/>
    </row>
    <row r="241" spans="1:8">
      <c r="B241" s="44" t="s">
        <v>131</v>
      </c>
      <c r="C241" s="64">
        <v>-15733.09</v>
      </c>
      <c r="D241" s="54" t="s">
        <v>866</v>
      </c>
      <c r="E241" s="54"/>
      <c r="F241" s="55">
        <v>44007</v>
      </c>
      <c r="G241" s="56" t="s">
        <v>278</v>
      </c>
      <c r="H241" s="54"/>
    </row>
    <row r="242" spans="1:8">
      <c r="B242" s="44" t="s">
        <v>131</v>
      </c>
      <c r="C242" s="64">
        <v>-20517.84</v>
      </c>
      <c r="D242" s="54" t="s">
        <v>866</v>
      </c>
      <c r="E242" s="54"/>
      <c r="F242" s="55">
        <v>44007</v>
      </c>
      <c r="G242" s="56" t="s">
        <v>132</v>
      </c>
      <c r="H242" s="54"/>
    </row>
    <row r="243" spans="1:8">
      <c r="B243" s="44" t="s">
        <v>131</v>
      </c>
      <c r="C243" s="64">
        <v>-21055.23</v>
      </c>
      <c r="D243" s="54" t="s">
        <v>866</v>
      </c>
      <c r="E243" s="54"/>
      <c r="F243" s="55">
        <v>44007</v>
      </c>
      <c r="G243" s="56" t="s">
        <v>201</v>
      </c>
      <c r="H243" s="54"/>
    </row>
    <row r="244" spans="1:8">
      <c r="B244" s="44" t="s">
        <v>58</v>
      </c>
      <c r="C244" s="64">
        <v>-50</v>
      </c>
      <c r="D244" s="54"/>
      <c r="E244" s="54">
        <v>123833</v>
      </c>
      <c r="F244" s="55">
        <v>44007</v>
      </c>
      <c r="G244" s="51" t="s">
        <v>210</v>
      </c>
      <c r="H244" s="54"/>
    </row>
    <row r="245" spans="1:8">
      <c r="B245" s="44" t="s">
        <v>131</v>
      </c>
      <c r="C245" s="64">
        <v>-16940.91</v>
      </c>
      <c r="D245" s="54" t="s">
        <v>866</v>
      </c>
      <c r="E245" s="54"/>
      <c r="F245" s="55">
        <v>44007</v>
      </c>
      <c r="G245" s="56" t="s">
        <v>346</v>
      </c>
      <c r="H245" s="54"/>
    </row>
    <row r="246" spans="1:8">
      <c r="B246" s="44" t="s">
        <v>58</v>
      </c>
      <c r="C246" s="64">
        <v>-50</v>
      </c>
      <c r="D246" s="54"/>
      <c r="E246" s="54">
        <v>123833</v>
      </c>
      <c r="F246" s="55">
        <v>44007</v>
      </c>
      <c r="G246" s="51" t="s">
        <v>352</v>
      </c>
      <c r="H246" s="54"/>
    </row>
    <row r="247" spans="1:8">
      <c r="B247" s="44" t="s">
        <v>131</v>
      </c>
      <c r="C247" s="64">
        <v>-14003.1</v>
      </c>
      <c r="D247" s="54" t="s">
        <v>866</v>
      </c>
      <c r="E247" s="54"/>
      <c r="F247" s="55">
        <v>44007</v>
      </c>
      <c r="G247" s="56" t="s">
        <v>412</v>
      </c>
      <c r="H247" s="54"/>
    </row>
    <row r="248" spans="1:8">
      <c r="A248" s="8" t="s">
        <v>70</v>
      </c>
      <c r="B248" s="44" t="s">
        <v>7</v>
      </c>
      <c r="C248" s="64">
        <v>-20472.79</v>
      </c>
      <c r="D248" s="54"/>
      <c r="E248" s="54">
        <v>3087045</v>
      </c>
      <c r="F248" s="55">
        <v>44011</v>
      </c>
      <c r="G248" s="56" t="s">
        <v>151</v>
      </c>
      <c r="H248" s="54"/>
    </row>
    <row r="249" spans="1:8">
      <c r="A249" s="8" t="s">
        <v>70</v>
      </c>
      <c r="B249" s="44" t="s">
        <v>8</v>
      </c>
      <c r="C249" s="64">
        <v>-7351.11</v>
      </c>
      <c r="D249" s="54"/>
      <c r="E249" s="54">
        <v>3087045</v>
      </c>
      <c r="F249" s="55">
        <v>44011</v>
      </c>
      <c r="G249" s="57" t="s">
        <v>364</v>
      </c>
      <c r="H249" s="54"/>
    </row>
    <row r="250" spans="1:8">
      <c r="A250" s="8" t="s">
        <v>70</v>
      </c>
      <c r="B250" s="44" t="s">
        <v>9</v>
      </c>
      <c r="C250" s="64">
        <v>-1927</v>
      </c>
      <c r="D250" s="54"/>
      <c r="E250" s="54">
        <v>3087045</v>
      </c>
      <c r="F250" s="55">
        <v>44011</v>
      </c>
      <c r="G250" s="57" t="s">
        <v>367</v>
      </c>
      <c r="H250" s="54"/>
    </row>
    <row r="251" spans="1:8">
      <c r="B251" s="44" t="s">
        <v>32</v>
      </c>
      <c r="C251" s="64">
        <v>-643.15</v>
      </c>
      <c r="D251" s="54"/>
      <c r="E251" s="54">
        <v>14755</v>
      </c>
      <c r="F251" s="55">
        <v>44011</v>
      </c>
      <c r="G251" s="56" t="s">
        <v>401</v>
      </c>
      <c r="H251" s="54"/>
    </row>
    <row r="252" spans="1:8">
      <c r="A252" s="8" t="s">
        <v>70</v>
      </c>
      <c r="B252" s="44" t="s">
        <v>7</v>
      </c>
      <c r="C252" s="64">
        <f>(106.25*110)*-1</f>
        <v>-11687.5</v>
      </c>
      <c r="D252" s="54"/>
      <c r="E252" s="54">
        <v>238745</v>
      </c>
      <c r="F252" s="55">
        <v>44011</v>
      </c>
      <c r="G252" s="56" t="s">
        <v>362</v>
      </c>
      <c r="H252" s="54"/>
    </row>
    <row r="253" spans="1:8">
      <c r="A253" s="8" t="s">
        <v>17</v>
      </c>
      <c r="B253" s="44" t="s">
        <v>26</v>
      </c>
      <c r="C253" s="64">
        <f>(0.5*150)*-1</f>
        <v>-75</v>
      </c>
      <c r="D253" s="54"/>
      <c r="E253" s="57">
        <v>1073708</v>
      </c>
      <c r="F253" s="55">
        <v>44011</v>
      </c>
      <c r="G253" s="51" t="s">
        <v>397</v>
      </c>
      <c r="H253" s="54"/>
    </row>
    <row r="254" spans="1:8">
      <c r="A254" s="8" t="s">
        <v>70</v>
      </c>
      <c r="B254" s="44" t="s">
        <v>6</v>
      </c>
      <c r="C254" s="64">
        <v>-22314.98</v>
      </c>
      <c r="D254" s="54"/>
      <c r="E254" s="54">
        <v>3086680</v>
      </c>
      <c r="F254" s="55">
        <v>43983</v>
      </c>
      <c r="G254" s="56" t="s">
        <v>358</v>
      </c>
      <c r="H254" s="54"/>
    </row>
    <row r="255" spans="1:8">
      <c r="A255" s="8" t="s">
        <v>70</v>
      </c>
      <c r="B255" s="44" t="s">
        <v>7</v>
      </c>
      <c r="C255" s="64">
        <v>-18203.52</v>
      </c>
      <c r="D255" s="54"/>
      <c r="E255" s="54">
        <v>3087045</v>
      </c>
      <c r="F255" s="55">
        <v>44011</v>
      </c>
      <c r="G255" s="56" t="s">
        <v>430</v>
      </c>
      <c r="H255" s="54"/>
    </row>
    <row r="256" spans="1:8">
      <c r="A256" s="8" t="s">
        <v>70</v>
      </c>
      <c r="B256" s="44" t="s">
        <v>9</v>
      </c>
      <c r="C256" s="64">
        <f>(7*110)*-1</f>
        <v>-770</v>
      </c>
      <c r="D256" s="54"/>
      <c r="E256" s="54">
        <v>238850</v>
      </c>
      <c r="F256" s="55">
        <v>44012</v>
      </c>
      <c r="G256" s="57" t="s">
        <v>368</v>
      </c>
      <c r="H256" s="54"/>
    </row>
    <row r="257" spans="1:8">
      <c r="B257" s="44" t="s">
        <v>131</v>
      </c>
      <c r="C257" s="64">
        <v>-20833.330000000002</v>
      </c>
      <c r="D257" s="54"/>
      <c r="E257" s="54">
        <v>16196</v>
      </c>
      <c r="F257" s="55">
        <v>44013</v>
      </c>
      <c r="G257" s="56" t="s">
        <v>413</v>
      </c>
      <c r="H257" s="54"/>
    </row>
    <row r="258" spans="1:8">
      <c r="A258" s="8" t="s">
        <v>70</v>
      </c>
      <c r="B258" s="44" t="s">
        <v>8</v>
      </c>
      <c r="C258" s="64">
        <f>(17.75*110)*-1</f>
        <v>-1952.5</v>
      </c>
      <c r="D258" s="54"/>
      <c r="E258" s="57"/>
      <c r="F258" s="55">
        <v>44013</v>
      </c>
      <c r="G258" s="57" t="s">
        <v>366</v>
      </c>
      <c r="H258" s="54"/>
    </row>
    <row r="259" spans="1:8">
      <c r="A259" s="8" t="s">
        <v>17</v>
      </c>
      <c r="B259" s="44" t="s">
        <v>18</v>
      </c>
      <c r="C259" s="64">
        <v>-42515.77</v>
      </c>
      <c r="D259" s="54"/>
      <c r="E259" s="54">
        <v>1455998</v>
      </c>
      <c r="F259" s="55">
        <v>44014</v>
      </c>
      <c r="G259" s="56" t="s">
        <v>381</v>
      </c>
      <c r="H259" s="54"/>
    </row>
    <row r="260" spans="1:8">
      <c r="A260" s="8" t="s">
        <v>17</v>
      </c>
      <c r="B260" s="44" t="s">
        <v>19</v>
      </c>
      <c r="C260" s="64">
        <v>-30478.67</v>
      </c>
      <c r="D260" s="54"/>
      <c r="E260" s="54">
        <v>1455998</v>
      </c>
      <c r="F260" s="55">
        <v>44014</v>
      </c>
      <c r="G260" s="56" t="s">
        <v>384</v>
      </c>
      <c r="H260" s="54"/>
    </row>
    <row r="261" spans="1:8">
      <c r="A261" s="8" t="s">
        <v>17</v>
      </c>
      <c r="B261" s="35" t="s">
        <v>21</v>
      </c>
      <c r="C261" s="64">
        <v>-17875.560000000001</v>
      </c>
      <c r="D261" s="54"/>
      <c r="E261" s="54">
        <v>1456610</v>
      </c>
      <c r="F261" s="55">
        <v>44018</v>
      </c>
      <c r="G261" s="56" t="s">
        <v>388</v>
      </c>
      <c r="H261" s="54"/>
    </row>
    <row r="262" spans="1:8">
      <c r="B262" s="44" t="s">
        <v>31</v>
      </c>
      <c r="C262" s="64">
        <v>-2608.1799999999998</v>
      </c>
      <c r="D262" s="54"/>
      <c r="E262" s="54">
        <v>1639119</v>
      </c>
      <c r="F262" s="55">
        <v>44018</v>
      </c>
      <c r="G262" s="56" t="s">
        <v>398</v>
      </c>
      <c r="H262" s="54"/>
    </row>
    <row r="263" spans="1:8">
      <c r="B263" s="44" t="s">
        <v>39</v>
      </c>
      <c r="C263" s="64">
        <v>-6659.24</v>
      </c>
      <c r="D263" s="54"/>
      <c r="E263" s="54">
        <v>182230</v>
      </c>
      <c r="F263" s="55">
        <v>44018</v>
      </c>
      <c r="G263" s="56" t="s">
        <v>407</v>
      </c>
      <c r="H263" s="54"/>
    </row>
    <row r="264" spans="1:8">
      <c r="B264" s="44" t="s">
        <v>40</v>
      </c>
      <c r="C264" s="64">
        <v>-1851.9</v>
      </c>
      <c r="D264" s="54"/>
      <c r="E264" s="54">
        <v>15694</v>
      </c>
      <c r="F264" s="55">
        <v>44018</v>
      </c>
      <c r="G264" s="51" t="s">
        <v>409</v>
      </c>
      <c r="H264" s="54"/>
    </row>
    <row r="265" spans="1:8">
      <c r="B265" s="44" t="s">
        <v>31</v>
      </c>
      <c r="C265" s="64">
        <f>(1*110)*-1</f>
        <v>-110</v>
      </c>
      <c r="D265" s="54"/>
      <c r="E265" s="54">
        <v>1639119</v>
      </c>
      <c r="F265" s="55">
        <v>44018</v>
      </c>
      <c r="G265" s="56" t="s">
        <v>400</v>
      </c>
      <c r="H265" s="54"/>
    </row>
    <row r="266" spans="1:8">
      <c r="B266" s="44" t="s">
        <v>39</v>
      </c>
      <c r="C266" s="64">
        <v>-500</v>
      </c>
      <c r="D266" s="54"/>
      <c r="E266" s="57">
        <v>182230</v>
      </c>
      <c r="F266" s="55">
        <v>44018</v>
      </c>
      <c r="G266" s="56" t="s">
        <v>408</v>
      </c>
      <c r="H266" s="54"/>
    </row>
    <row r="267" spans="1:8">
      <c r="B267" s="44" t="s">
        <v>50</v>
      </c>
      <c r="C267" s="64">
        <v>-1034</v>
      </c>
      <c r="D267" s="54"/>
      <c r="E267" s="54">
        <v>2400241636</v>
      </c>
      <c r="F267" s="55">
        <v>44018</v>
      </c>
      <c r="G267" s="51" t="s">
        <v>414</v>
      </c>
      <c r="H267" s="54"/>
    </row>
    <row r="268" spans="1:8">
      <c r="A268" s="8" t="s">
        <v>17</v>
      </c>
      <c r="B268" s="35" t="s">
        <v>21</v>
      </c>
      <c r="C268" s="64">
        <v>-20961.560000000001</v>
      </c>
      <c r="D268" s="54"/>
      <c r="E268" s="54">
        <v>1456610</v>
      </c>
      <c r="F268" s="55">
        <v>44018</v>
      </c>
      <c r="G268" s="56" t="s">
        <v>459</v>
      </c>
      <c r="H268" s="54"/>
    </row>
    <row r="269" spans="1:8">
      <c r="B269" s="44" t="s">
        <v>36</v>
      </c>
      <c r="C269" s="64">
        <v>-6856.5</v>
      </c>
      <c r="D269" s="54" t="s">
        <v>866</v>
      </c>
      <c r="E269" s="54"/>
      <c r="F269" s="55">
        <v>44018</v>
      </c>
      <c r="G269" s="56" t="s">
        <v>483</v>
      </c>
      <c r="H269" s="54"/>
    </row>
    <row r="270" spans="1:8">
      <c r="B270" s="44" t="s">
        <v>32</v>
      </c>
      <c r="C270" s="64">
        <v>-1332</v>
      </c>
      <c r="D270" s="54"/>
      <c r="E270" s="54">
        <v>14987</v>
      </c>
      <c r="F270" s="55">
        <v>44019</v>
      </c>
      <c r="G270" s="56" t="s">
        <v>478</v>
      </c>
      <c r="H270" s="54"/>
    </row>
    <row r="271" spans="1:8">
      <c r="A271" s="8" t="s">
        <v>17</v>
      </c>
      <c r="B271" s="44" t="s">
        <v>24</v>
      </c>
      <c r="C271" s="64">
        <f>(2*125)*-1</f>
        <v>-250</v>
      </c>
      <c r="D271" s="54"/>
      <c r="E271" s="57">
        <v>1457369</v>
      </c>
      <c r="F271" s="55">
        <v>44020</v>
      </c>
      <c r="G271" s="56" t="s">
        <v>330</v>
      </c>
      <c r="H271" s="54"/>
    </row>
    <row r="272" spans="1:8">
      <c r="A272" s="8" t="s">
        <v>17</v>
      </c>
      <c r="B272" s="62" t="s">
        <v>22</v>
      </c>
      <c r="C272" s="64">
        <f>(238*125)*-1</f>
        <v>-29750</v>
      </c>
      <c r="D272" s="54"/>
      <c r="E272" s="57">
        <v>1457369</v>
      </c>
      <c r="F272" s="55">
        <v>44020</v>
      </c>
      <c r="G272" s="56" t="s">
        <v>390</v>
      </c>
      <c r="H272" s="54"/>
    </row>
    <row r="273" spans="1:8">
      <c r="A273" s="8" t="s">
        <v>17</v>
      </c>
      <c r="B273" s="44" t="s">
        <v>24</v>
      </c>
      <c r="C273" s="64">
        <f>(1*125)*-1</f>
        <v>-125</v>
      </c>
      <c r="D273" s="54"/>
      <c r="E273" s="57">
        <v>1457369</v>
      </c>
      <c r="F273" s="55">
        <v>44020</v>
      </c>
      <c r="G273" s="56" t="s">
        <v>394</v>
      </c>
      <c r="H273" s="54"/>
    </row>
    <row r="274" spans="1:8">
      <c r="A274" s="8" t="s">
        <v>70</v>
      </c>
      <c r="B274" s="44" t="s">
        <v>15</v>
      </c>
      <c r="C274" s="64">
        <f>(2.75*110)*-1</f>
        <v>-302.5</v>
      </c>
      <c r="D274" s="54"/>
      <c r="E274" s="54">
        <v>239684</v>
      </c>
      <c r="F274" s="55">
        <v>44022</v>
      </c>
      <c r="G274" s="51" t="s">
        <v>378</v>
      </c>
      <c r="H274" s="54"/>
    </row>
    <row r="275" spans="1:8">
      <c r="A275" s="8" t="s">
        <v>70</v>
      </c>
      <c r="B275" s="44" t="s">
        <v>14</v>
      </c>
      <c r="C275" s="64">
        <f>(1.25*110)*-1</f>
        <v>-137.5</v>
      </c>
      <c r="D275" s="54"/>
      <c r="E275" s="54"/>
      <c r="F275" s="55">
        <v>44022</v>
      </c>
      <c r="G275" s="56" t="s">
        <v>446</v>
      </c>
      <c r="H275" s="54"/>
    </row>
    <row r="276" spans="1:8">
      <c r="A276" s="8" t="s">
        <v>17</v>
      </c>
      <c r="B276" s="44" t="s">
        <v>19</v>
      </c>
      <c r="C276" s="64">
        <f>(75.75*125)*-1</f>
        <v>-9468.75</v>
      </c>
      <c r="D276" s="54"/>
      <c r="E276" s="54">
        <v>1457946</v>
      </c>
      <c r="F276" s="55">
        <v>44026</v>
      </c>
      <c r="G276" s="56" t="s">
        <v>383</v>
      </c>
      <c r="H276" s="54"/>
    </row>
    <row r="277" spans="1:8">
      <c r="A277" s="8" t="s">
        <v>17</v>
      </c>
      <c r="B277" s="44" t="s">
        <v>18</v>
      </c>
      <c r="C277" s="64">
        <f>(250*125)*-1</f>
        <v>-31250</v>
      </c>
      <c r="D277" s="54"/>
      <c r="E277" s="54">
        <v>1457946</v>
      </c>
      <c r="F277" s="55">
        <v>44026</v>
      </c>
      <c r="G277" s="56" t="s">
        <v>380</v>
      </c>
      <c r="H277" s="54"/>
    </row>
    <row r="278" spans="1:8">
      <c r="A278" s="8" t="s">
        <v>17</v>
      </c>
      <c r="B278" s="44" t="s">
        <v>20</v>
      </c>
      <c r="C278" s="64">
        <f>(12*125)*-1</f>
        <v>-1500</v>
      </c>
      <c r="D278" s="54"/>
      <c r="E278" s="54">
        <v>1457946</v>
      </c>
      <c r="F278" s="55">
        <v>44026</v>
      </c>
      <c r="G278" s="51" t="s">
        <v>385</v>
      </c>
      <c r="H278" s="54"/>
    </row>
    <row r="279" spans="1:8">
      <c r="B279" s="44" t="s">
        <v>54</v>
      </c>
      <c r="C279" s="64">
        <v>-228</v>
      </c>
      <c r="D279" s="54"/>
      <c r="E279" s="54">
        <v>1870</v>
      </c>
      <c r="F279" s="55">
        <v>44026</v>
      </c>
      <c r="G279" s="51" t="s">
        <v>501</v>
      </c>
      <c r="H279" s="54"/>
    </row>
    <row r="280" spans="1:8">
      <c r="B280" s="44" t="s">
        <v>37</v>
      </c>
      <c r="C280" s="64">
        <v>-50813.2</v>
      </c>
      <c r="D280" s="53" t="s">
        <v>866</v>
      </c>
      <c r="E280" s="54"/>
      <c r="F280" s="55">
        <v>44027</v>
      </c>
      <c r="G280" s="56" t="s">
        <v>485</v>
      </c>
      <c r="H280" s="54"/>
    </row>
    <row r="281" spans="1:8">
      <c r="B281" s="44" t="s">
        <v>37</v>
      </c>
      <c r="C281" s="64">
        <f>(65.25*150)*-1</f>
        <v>-9787.5</v>
      </c>
      <c r="D281" s="54" t="s">
        <v>866</v>
      </c>
      <c r="E281" s="54"/>
      <c r="F281" s="55">
        <v>44027</v>
      </c>
      <c r="G281" s="56" t="s">
        <v>487</v>
      </c>
      <c r="H281" s="54"/>
    </row>
    <row r="282" spans="1:8">
      <c r="B282" s="44" t="s">
        <v>34</v>
      </c>
      <c r="C282" s="64">
        <f>((10.25*200)+(2098*2))*-1</f>
        <v>-6246</v>
      </c>
      <c r="D282" s="53"/>
      <c r="E282" s="54">
        <v>122691</v>
      </c>
      <c r="F282" s="55">
        <v>44027</v>
      </c>
      <c r="G282" s="51" t="s">
        <v>479</v>
      </c>
      <c r="H282" s="54"/>
    </row>
    <row r="283" spans="1:8">
      <c r="B283" s="44" t="s">
        <v>53</v>
      </c>
      <c r="C283" s="64">
        <v>-1470</v>
      </c>
      <c r="D283" s="53"/>
      <c r="E283" s="54">
        <v>2438</v>
      </c>
      <c r="F283" s="55">
        <v>44028</v>
      </c>
      <c r="G283" s="51" t="s">
        <v>500</v>
      </c>
      <c r="H283" s="54"/>
    </row>
    <row r="284" spans="1:8">
      <c r="A284" s="8" t="s">
        <v>70</v>
      </c>
      <c r="B284" s="44" t="s">
        <v>9</v>
      </c>
      <c r="C284" s="64">
        <v>-2288.41</v>
      </c>
      <c r="D284" s="54"/>
      <c r="E284" s="54">
        <v>3087310</v>
      </c>
      <c r="F284" s="55">
        <v>44032</v>
      </c>
      <c r="G284" s="57" t="s">
        <v>435</v>
      </c>
      <c r="H284" s="54"/>
    </row>
    <row r="285" spans="1:8">
      <c r="A285" s="8" t="s">
        <v>70</v>
      </c>
      <c r="B285" s="44" t="s">
        <v>10</v>
      </c>
      <c r="C285" s="64">
        <v>-1312.22</v>
      </c>
      <c r="D285" s="54"/>
      <c r="E285" s="54">
        <v>3087310</v>
      </c>
      <c r="F285" s="55">
        <v>44032</v>
      </c>
      <c r="G285" s="57" t="s">
        <v>437</v>
      </c>
      <c r="H285" s="54"/>
    </row>
    <row r="286" spans="1:8">
      <c r="A286" s="8" t="s">
        <v>70</v>
      </c>
      <c r="B286" s="44" t="s">
        <v>11</v>
      </c>
      <c r="C286" s="64">
        <v>-4325.28</v>
      </c>
      <c r="D286" s="54"/>
      <c r="E286" s="54">
        <v>3087310</v>
      </c>
      <c r="F286" s="55">
        <v>44032</v>
      </c>
      <c r="G286" s="56" t="s">
        <v>439</v>
      </c>
      <c r="H286" s="54"/>
    </row>
    <row r="287" spans="1:8">
      <c r="A287" s="8" t="s">
        <v>70</v>
      </c>
      <c r="B287" s="44" t="s">
        <v>12</v>
      </c>
      <c r="C287" s="64">
        <v>-1863.39</v>
      </c>
      <c r="D287" s="54"/>
      <c r="E287" s="54">
        <v>3087310</v>
      </c>
      <c r="F287" s="55">
        <v>44032</v>
      </c>
      <c r="G287" s="56" t="s">
        <v>441</v>
      </c>
      <c r="H287" s="54"/>
    </row>
    <row r="288" spans="1:8">
      <c r="B288" s="44" t="s">
        <v>36</v>
      </c>
      <c r="C288" s="64">
        <v>-14273.85</v>
      </c>
      <c r="D288" s="54" t="s">
        <v>866</v>
      </c>
      <c r="E288" s="54"/>
      <c r="F288" s="55">
        <v>44034</v>
      </c>
      <c r="G288" s="56" t="s">
        <v>484</v>
      </c>
      <c r="H288" s="54"/>
    </row>
    <row r="289" spans="1:8">
      <c r="A289" s="8" t="s">
        <v>70</v>
      </c>
      <c r="B289" s="44" t="s">
        <v>6</v>
      </c>
      <c r="C289" s="64">
        <v>-24111.99</v>
      </c>
      <c r="D289" s="54"/>
      <c r="E289" s="54">
        <v>3086942</v>
      </c>
      <c r="F289" s="55">
        <v>44004</v>
      </c>
      <c r="G289" s="56" t="s">
        <v>360</v>
      </c>
      <c r="H289" s="54"/>
    </row>
    <row r="290" spans="1:8">
      <c r="A290" s="8" t="s">
        <v>70</v>
      </c>
      <c r="B290" s="44" t="s">
        <v>7</v>
      </c>
      <c r="C290" s="64">
        <f>(112*110)*-1</f>
        <v>-12320</v>
      </c>
      <c r="D290" s="54"/>
      <c r="E290" s="54">
        <v>240556</v>
      </c>
      <c r="F290" s="55">
        <v>44034</v>
      </c>
      <c r="G290" s="56" t="s">
        <v>431</v>
      </c>
      <c r="H290" s="54"/>
    </row>
    <row r="291" spans="1:8">
      <c r="A291" s="8" t="s">
        <v>70</v>
      </c>
      <c r="B291" s="44" t="s">
        <v>11</v>
      </c>
      <c r="C291" s="64">
        <f>(11.5*110)*-1</f>
        <v>-1265</v>
      </c>
      <c r="D291" s="54"/>
      <c r="E291" s="54">
        <v>240556</v>
      </c>
      <c r="F291" s="55">
        <v>44034</v>
      </c>
      <c r="G291" s="56" t="s">
        <v>440</v>
      </c>
      <c r="H291" s="54"/>
    </row>
    <row r="292" spans="1:8">
      <c r="A292" s="8" t="s">
        <v>70</v>
      </c>
      <c r="B292" s="44" t="s">
        <v>14</v>
      </c>
      <c r="C292" s="64">
        <v>-22.31</v>
      </c>
      <c r="D292" s="54"/>
      <c r="E292" s="54">
        <v>240671</v>
      </c>
      <c r="F292" s="55">
        <v>44035</v>
      </c>
      <c r="G292" s="51" t="s">
        <v>445</v>
      </c>
      <c r="H292" s="54"/>
    </row>
    <row r="293" spans="1:8">
      <c r="B293" s="44" t="s">
        <v>59</v>
      </c>
      <c r="C293" s="64">
        <v>-1070.45</v>
      </c>
      <c r="D293" s="54"/>
      <c r="E293" s="54">
        <v>738559</v>
      </c>
      <c r="F293" s="55">
        <v>44035</v>
      </c>
      <c r="G293" s="51" t="s">
        <v>503</v>
      </c>
      <c r="H293" s="54"/>
    </row>
    <row r="294" spans="1:8">
      <c r="B294" s="44" t="s">
        <v>63</v>
      </c>
      <c r="C294" s="64">
        <v>-665</v>
      </c>
      <c r="D294" s="54"/>
      <c r="E294" s="54">
        <v>2688</v>
      </c>
      <c r="F294" s="55">
        <v>44036</v>
      </c>
      <c r="G294" s="51" t="s">
        <v>506</v>
      </c>
      <c r="H294" s="54"/>
    </row>
    <row r="295" spans="1:8">
      <c r="A295" s="8" t="s">
        <v>17</v>
      </c>
      <c r="B295" s="44" t="s">
        <v>18</v>
      </c>
      <c r="C295" s="64">
        <v>-27997.78</v>
      </c>
      <c r="D295" s="54"/>
      <c r="E295" s="54">
        <v>1459915</v>
      </c>
      <c r="F295" s="55">
        <v>44036</v>
      </c>
      <c r="G295" s="56" t="s">
        <v>316</v>
      </c>
      <c r="H295" s="54"/>
    </row>
    <row r="296" spans="1:8">
      <c r="A296" s="8" t="s">
        <v>17</v>
      </c>
      <c r="B296" s="44" t="s">
        <v>19</v>
      </c>
      <c r="C296" s="64">
        <v>-27284.87</v>
      </c>
      <c r="D296" s="54"/>
      <c r="E296" s="54">
        <v>1459915</v>
      </c>
      <c r="F296" s="55">
        <v>44036</v>
      </c>
      <c r="G296" s="56" t="s">
        <v>319</v>
      </c>
      <c r="H296" s="54"/>
    </row>
    <row r="297" spans="1:8">
      <c r="A297" s="8" t="s">
        <v>17</v>
      </c>
      <c r="B297" s="44" t="s">
        <v>19</v>
      </c>
      <c r="C297" s="64">
        <v>-35894.230000000003</v>
      </c>
      <c r="D297" s="54"/>
      <c r="E297" s="54">
        <v>1459915</v>
      </c>
      <c r="F297" s="55">
        <v>44036</v>
      </c>
      <c r="G297" s="56" t="s">
        <v>382</v>
      </c>
      <c r="H297" s="54"/>
    </row>
    <row r="298" spans="1:8">
      <c r="A298" s="8" t="s">
        <v>17</v>
      </c>
      <c r="B298" s="62" t="s">
        <v>22</v>
      </c>
      <c r="C298" s="64">
        <v>-7274.04</v>
      </c>
      <c r="D298" s="54"/>
      <c r="E298" s="54">
        <v>1459915</v>
      </c>
      <c r="F298" s="55">
        <v>44036</v>
      </c>
      <c r="G298" s="56" t="s">
        <v>389</v>
      </c>
      <c r="H298" s="54"/>
    </row>
    <row r="299" spans="1:8">
      <c r="A299" s="8" t="s">
        <v>17</v>
      </c>
      <c r="B299" s="62" t="s">
        <v>23</v>
      </c>
      <c r="C299" s="64">
        <v>-5077.05</v>
      </c>
      <c r="D299" s="54"/>
      <c r="E299" s="54">
        <v>1459915</v>
      </c>
      <c r="F299" s="55">
        <v>44036</v>
      </c>
      <c r="G299" s="56" t="s">
        <v>392</v>
      </c>
      <c r="H299" s="54"/>
    </row>
    <row r="300" spans="1:8">
      <c r="A300" s="8" t="s">
        <v>17</v>
      </c>
      <c r="B300" s="44" t="s">
        <v>25</v>
      </c>
      <c r="C300" s="64">
        <v>-87.13</v>
      </c>
      <c r="D300" s="54"/>
      <c r="E300" s="54">
        <v>1459915</v>
      </c>
      <c r="F300" s="55">
        <v>44036</v>
      </c>
      <c r="G300" s="56" t="s">
        <v>395</v>
      </c>
      <c r="H300" s="54"/>
    </row>
    <row r="301" spans="1:8">
      <c r="A301" s="8" t="s">
        <v>17</v>
      </c>
      <c r="B301" s="44" t="s">
        <v>18</v>
      </c>
      <c r="C301" s="64">
        <v>-50095.32</v>
      </c>
      <c r="D301" s="54"/>
      <c r="E301" s="54">
        <v>1459915</v>
      </c>
      <c r="F301" s="55">
        <v>44036</v>
      </c>
      <c r="G301" s="56" t="s">
        <v>452</v>
      </c>
      <c r="H301" s="54"/>
    </row>
    <row r="302" spans="1:8">
      <c r="A302" s="8" t="s">
        <v>17</v>
      </c>
      <c r="B302" s="44" t="s">
        <v>19</v>
      </c>
      <c r="C302" s="64">
        <v>-50229.31</v>
      </c>
      <c r="D302" s="54"/>
      <c r="E302" s="54">
        <v>1459915</v>
      </c>
      <c r="F302" s="55">
        <v>44036</v>
      </c>
      <c r="G302" s="56" t="s">
        <v>455</v>
      </c>
      <c r="H302" s="54"/>
    </row>
    <row r="303" spans="1:8">
      <c r="B303" s="44" t="s">
        <v>32</v>
      </c>
      <c r="C303" s="64">
        <v>-2880.54</v>
      </c>
      <c r="D303" s="54"/>
      <c r="E303" s="54">
        <v>15307</v>
      </c>
      <c r="F303" s="55">
        <v>44040</v>
      </c>
      <c r="G303" s="56" t="s">
        <v>477</v>
      </c>
      <c r="H303" s="54"/>
    </row>
    <row r="304" spans="1:8">
      <c r="B304" s="44" t="s">
        <v>35</v>
      </c>
      <c r="C304" s="64">
        <f>(0.5*150)*-1</f>
        <v>-75</v>
      </c>
      <c r="D304" s="54"/>
      <c r="E304" s="54">
        <v>123898</v>
      </c>
      <c r="F304" s="55">
        <v>44040</v>
      </c>
      <c r="G304" s="51" t="s">
        <v>481</v>
      </c>
      <c r="H304" s="54"/>
    </row>
    <row r="305" spans="1:8">
      <c r="B305" s="44" t="s">
        <v>131</v>
      </c>
      <c r="C305" s="64">
        <v>-14455.55</v>
      </c>
      <c r="D305" s="53" t="s">
        <v>866</v>
      </c>
      <c r="E305" s="54"/>
      <c r="F305" s="55">
        <v>44041</v>
      </c>
      <c r="G305" s="56" t="s">
        <v>495</v>
      </c>
      <c r="H305" s="54"/>
    </row>
    <row r="306" spans="1:8">
      <c r="A306" s="8" t="s">
        <v>70</v>
      </c>
      <c r="B306" s="44" t="s">
        <v>9</v>
      </c>
      <c r="C306" s="64">
        <f>(2.75*110)*-1</f>
        <v>-302.5</v>
      </c>
      <c r="D306" s="54"/>
      <c r="E306" s="54">
        <v>240808</v>
      </c>
      <c r="F306" s="55">
        <v>44041</v>
      </c>
      <c r="G306" s="57" t="s">
        <v>436</v>
      </c>
      <c r="H306" s="54"/>
    </row>
    <row r="307" spans="1:8">
      <c r="A307" s="8" t="s">
        <v>70</v>
      </c>
      <c r="B307" s="44" t="s">
        <v>10</v>
      </c>
      <c r="C307" s="64">
        <f>(10.5*110)*-1</f>
        <v>-1155</v>
      </c>
      <c r="D307" s="54"/>
      <c r="E307" s="54">
        <v>240808</v>
      </c>
      <c r="F307" s="55">
        <v>44041</v>
      </c>
      <c r="G307" s="57" t="s">
        <v>438</v>
      </c>
      <c r="H307" s="54"/>
    </row>
    <row r="308" spans="1:8">
      <c r="B308" s="44" t="s">
        <v>131</v>
      </c>
      <c r="C308" s="64">
        <v>-20833.330000000002</v>
      </c>
      <c r="D308" s="54"/>
      <c r="E308" s="53" t="s">
        <v>866</v>
      </c>
      <c r="F308" s="55">
        <v>44041</v>
      </c>
      <c r="G308" s="56" t="s">
        <v>497</v>
      </c>
      <c r="H308" s="54"/>
    </row>
    <row r="309" spans="1:8">
      <c r="A309" s="8" t="s">
        <v>70</v>
      </c>
      <c r="B309" s="44" t="s">
        <v>8</v>
      </c>
      <c r="C309" s="64">
        <f>(22*110)*-1</f>
        <v>-2420</v>
      </c>
      <c r="D309" s="54"/>
      <c r="E309" s="54">
        <v>240808</v>
      </c>
      <c r="F309" s="55">
        <v>44041</v>
      </c>
      <c r="G309" s="57" t="s">
        <v>434</v>
      </c>
      <c r="H309" s="54"/>
    </row>
    <row r="310" spans="1:8">
      <c r="B310" s="44" t="s">
        <v>131</v>
      </c>
      <c r="C310" s="64">
        <v>-57.52</v>
      </c>
      <c r="D310" s="53" t="s">
        <v>866</v>
      </c>
      <c r="E310" s="54"/>
      <c r="F310" s="55">
        <v>44041</v>
      </c>
      <c r="G310" s="51" t="s">
        <v>496</v>
      </c>
      <c r="H310" s="54"/>
    </row>
    <row r="311" spans="1:8">
      <c r="B311" s="44" t="s">
        <v>31</v>
      </c>
      <c r="C311" s="64">
        <v>-2486.83</v>
      </c>
      <c r="D311" s="54"/>
      <c r="E311" s="54">
        <v>1670749</v>
      </c>
      <c r="F311" s="55">
        <v>44043</v>
      </c>
      <c r="G311" s="56" t="s">
        <v>474</v>
      </c>
      <c r="H311" s="54"/>
    </row>
    <row r="312" spans="1:8">
      <c r="A312" s="8" t="s">
        <v>70</v>
      </c>
      <c r="B312" s="44" t="s">
        <v>12</v>
      </c>
      <c r="C312" s="64">
        <f>(3.5*110)*-1</f>
        <v>-385</v>
      </c>
      <c r="D312" s="54"/>
      <c r="E312" s="54">
        <v>241149</v>
      </c>
      <c r="F312" s="55">
        <v>44043</v>
      </c>
      <c r="G312" s="56" t="s">
        <v>442</v>
      </c>
      <c r="H312" s="54"/>
    </row>
    <row r="313" spans="1:8">
      <c r="B313" s="44" t="s">
        <v>31</v>
      </c>
      <c r="C313" s="64">
        <f>(2*110)*-1</f>
        <v>-220</v>
      </c>
      <c r="D313" s="54"/>
      <c r="E313" s="54">
        <v>1670749</v>
      </c>
      <c r="F313" s="55">
        <v>44043</v>
      </c>
      <c r="G313" s="56" t="s">
        <v>476</v>
      </c>
      <c r="H313" s="54"/>
    </row>
    <row r="314" spans="1:8">
      <c r="A314" s="8" t="s">
        <v>70</v>
      </c>
      <c r="B314" s="44" t="s">
        <v>6</v>
      </c>
      <c r="C314" s="64">
        <f>(166.25*110)*-1</f>
        <v>-18287.5</v>
      </c>
      <c r="D314" s="54"/>
      <c r="E314" s="54">
        <v>240556</v>
      </c>
      <c r="F314" s="55">
        <v>44034</v>
      </c>
      <c r="G314" s="56" t="s">
        <v>428</v>
      </c>
      <c r="H314" s="54"/>
    </row>
    <row r="315" spans="1:8">
      <c r="B315" s="44" t="s">
        <v>31</v>
      </c>
      <c r="C315" s="64">
        <v>-84.69</v>
      </c>
      <c r="D315" s="54"/>
      <c r="E315" s="54">
        <v>1670749</v>
      </c>
      <c r="F315" s="55">
        <v>44043</v>
      </c>
      <c r="G315" s="51" t="s">
        <v>475</v>
      </c>
      <c r="H315" s="54"/>
    </row>
    <row r="316" spans="1:8">
      <c r="A316" s="8" t="s">
        <v>17</v>
      </c>
      <c r="B316" s="44" t="s">
        <v>26</v>
      </c>
      <c r="C316" s="64">
        <f>(0.5*150)*-1</f>
        <v>-75</v>
      </c>
      <c r="D316" s="54"/>
      <c r="E316" s="57">
        <v>1075400</v>
      </c>
      <c r="F316" s="55">
        <v>44046</v>
      </c>
      <c r="G316" s="51" t="s">
        <v>469</v>
      </c>
      <c r="H316" s="54"/>
    </row>
    <row r="317" spans="1:8">
      <c r="A317" s="8" t="s">
        <v>70</v>
      </c>
      <c r="B317" s="44" t="s">
        <v>13</v>
      </c>
      <c r="C317" s="64">
        <v>-100</v>
      </c>
      <c r="D317" s="54"/>
      <c r="E317" s="54">
        <v>241504</v>
      </c>
      <c r="F317" s="55">
        <v>44047</v>
      </c>
      <c r="G317" s="51" t="s">
        <v>443</v>
      </c>
      <c r="H317" s="54"/>
    </row>
    <row r="318" spans="1:8">
      <c r="A318" s="8" t="s">
        <v>70</v>
      </c>
      <c r="B318" s="44" t="s">
        <v>16</v>
      </c>
      <c r="C318" s="64">
        <v>-1178.1300000000001</v>
      </c>
      <c r="D318" s="54"/>
      <c r="E318" s="54">
        <v>12496</v>
      </c>
      <c r="F318" s="55">
        <v>44048</v>
      </c>
      <c r="G318" s="56" t="s">
        <v>448</v>
      </c>
      <c r="H318" s="54"/>
    </row>
    <row r="319" spans="1:8">
      <c r="B319" s="44" t="s">
        <v>41</v>
      </c>
      <c r="C319" s="64">
        <v>-3728.24</v>
      </c>
      <c r="D319" s="54"/>
      <c r="E319" s="54">
        <v>70585</v>
      </c>
      <c r="F319" s="55">
        <v>44048</v>
      </c>
      <c r="G319" s="56" t="s">
        <v>493</v>
      </c>
      <c r="H319" s="54"/>
    </row>
    <row r="320" spans="1:8">
      <c r="A320" s="8" t="s">
        <v>70</v>
      </c>
      <c r="B320" s="44" t="s">
        <v>16</v>
      </c>
      <c r="C320" s="64">
        <v>-1250</v>
      </c>
      <c r="D320" s="54"/>
      <c r="E320" s="54">
        <v>12496</v>
      </c>
      <c r="F320" s="55">
        <v>44048</v>
      </c>
      <c r="G320" s="56" t="s">
        <v>451</v>
      </c>
      <c r="H320" s="54"/>
    </row>
    <row r="321" spans="1:8">
      <c r="B321" s="44" t="s">
        <v>41</v>
      </c>
      <c r="C321" s="64">
        <v>-500</v>
      </c>
      <c r="D321" s="54"/>
      <c r="E321" s="54">
        <v>70585</v>
      </c>
      <c r="F321" s="55">
        <v>44048</v>
      </c>
      <c r="G321" s="56" t="s">
        <v>494</v>
      </c>
      <c r="H321" s="54"/>
    </row>
    <row r="322" spans="1:8">
      <c r="B322" s="44" t="s">
        <v>50</v>
      </c>
      <c r="C322" s="64">
        <v>-1762</v>
      </c>
      <c r="D322" s="54"/>
      <c r="E322" s="54">
        <v>2400242736</v>
      </c>
      <c r="F322" s="55">
        <v>44048</v>
      </c>
      <c r="G322" s="51" t="s">
        <v>498</v>
      </c>
      <c r="H322" s="54"/>
    </row>
    <row r="323" spans="1:8">
      <c r="B323" s="44" t="s">
        <v>36</v>
      </c>
      <c r="C323" s="64">
        <v>-10096.65</v>
      </c>
      <c r="D323" s="54" t="s">
        <v>866</v>
      </c>
      <c r="E323" s="54"/>
      <c r="F323" s="55">
        <v>44049</v>
      </c>
      <c r="G323" s="56" t="s">
        <v>550</v>
      </c>
      <c r="H323" s="54"/>
    </row>
    <row r="324" spans="1:8">
      <c r="A324" s="8" t="s">
        <v>17</v>
      </c>
      <c r="B324" s="44" t="s">
        <v>19</v>
      </c>
      <c r="C324" s="64">
        <v>-28886.65</v>
      </c>
      <c r="D324" s="54"/>
      <c r="E324" s="54">
        <v>1463720</v>
      </c>
      <c r="F324" s="55">
        <v>44050</v>
      </c>
      <c r="G324" s="56" t="s">
        <v>457</v>
      </c>
      <c r="H324" s="54"/>
    </row>
    <row r="325" spans="1:8">
      <c r="A325" s="8" t="s">
        <v>17</v>
      </c>
      <c r="B325" s="62" t="s">
        <v>22</v>
      </c>
      <c r="C325" s="64">
        <v>-7610.85</v>
      </c>
      <c r="D325" s="54"/>
      <c r="E325" s="54">
        <v>1464340</v>
      </c>
      <c r="F325" s="55">
        <v>44053</v>
      </c>
      <c r="G325" s="56" t="s">
        <v>462</v>
      </c>
      <c r="H325" s="54"/>
    </row>
    <row r="326" spans="1:8">
      <c r="A326" s="8" t="s">
        <v>17</v>
      </c>
      <c r="B326" s="62" t="s">
        <v>23</v>
      </c>
      <c r="C326" s="64">
        <v>-6414.4</v>
      </c>
      <c r="D326" s="54"/>
      <c r="E326" s="54">
        <v>1464340</v>
      </c>
      <c r="F326" s="55">
        <v>44053</v>
      </c>
      <c r="G326" s="56" t="s">
        <v>465</v>
      </c>
      <c r="H326" s="54"/>
    </row>
    <row r="327" spans="1:8">
      <c r="B327" s="44" t="s">
        <v>39</v>
      </c>
      <c r="C327" s="64">
        <v>-6025.24</v>
      </c>
      <c r="D327" s="54"/>
      <c r="E327" s="54">
        <v>182939</v>
      </c>
      <c r="F327" s="55">
        <v>44053</v>
      </c>
      <c r="G327" s="56" t="s">
        <v>488</v>
      </c>
      <c r="H327" s="54"/>
    </row>
    <row r="328" spans="1:8">
      <c r="B328" s="44" t="s">
        <v>39</v>
      </c>
      <c r="C328" s="64">
        <v>-500</v>
      </c>
      <c r="D328" s="54"/>
      <c r="E328" s="57">
        <v>182939</v>
      </c>
      <c r="F328" s="55">
        <v>44053</v>
      </c>
      <c r="G328" s="56" t="s">
        <v>489</v>
      </c>
      <c r="H328" s="54"/>
    </row>
    <row r="329" spans="1:8">
      <c r="A329" s="8" t="s">
        <v>70</v>
      </c>
      <c r="B329" s="44" t="s">
        <v>16</v>
      </c>
      <c r="C329" s="64">
        <v>-12.73</v>
      </c>
      <c r="D329" s="54"/>
      <c r="E329" s="54">
        <v>12551</v>
      </c>
      <c r="F329" s="55">
        <v>44053</v>
      </c>
      <c r="G329" s="51" t="s">
        <v>450</v>
      </c>
      <c r="H329" s="54"/>
    </row>
    <row r="330" spans="1:8">
      <c r="A330" s="8" t="s">
        <v>17</v>
      </c>
      <c r="B330" s="44" t="s">
        <v>18</v>
      </c>
      <c r="C330" s="64">
        <v>-46765.9</v>
      </c>
      <c r="D330" s="54"/>
      <c r="E330" s="54">
        <v>1464444</v>
      </c>
      <c r="F330" s="55">
        <v>44053</v>
      </c>
      <c r="G330" s="56" t="s">
        <v>528</v>
      </c>
      <c r="H330" s="54"/>
    </row>
    <row r="331" spans="1:8">
      <c r="A331" s="8" t="s">
        <v>17</v>
      </c>
      <c r="B331" s="44" t="s">
        <v>19</v>
      </c>
      <c r="C331" s="64">
        <v>-33323.339999999997</v>
      </c>
      <c r="D331" s="54"/>
      <c r="E331" s="54">
        <v>1464444</v>
      </c>
      <c r="F331" s="55">
        <v>44053</v>
      </c>
      <c r="G331" s="56" t="s">
        <v>531</v>
      </c>
      <c r="H331" s="54"/>
    </row>
    <row r="332" spans="1:8">
      <c r="B332" s="44" t="s">
        <v>54</v>
      </c>
      <c r="C332" s="64">
        <v>-447</v>
      </c>
      <c r="D332" s="54"/>
      <c r="E332" s="54">
        <v>1875</v>
      </c>
      <c r="F332" s="55">
        <v>44053</v>
      </c>
      <c r="G332" s="51" t="s">
        <v>565</v>
      </c>
      <c r="H332" s="54"/>
    </row>
    <row r="333" spans="1:8">
      <c r="B333" s="44" t="s">
        <v>53</v>
      </c>
      <c r="C333" s="64">
        <v>-1715</v>
      </c>
      <c r="D333" s="54"/>
      <c r="E333" s="54">
        <v>2444</v>
      </c>
      <c r="F333" s="55">
        <v>44055</v>
      </c>
      <c r="G333" s="51" t="s">
        <v>564</v>
      </c>
      <c r="H333" s="54"/>
    </row>
    <row r="334" spans="1:8">
      <c r="A334" s="8" t="s">
        <v>70</v>
      </c>
      <c r="B334" s="44" t="s">
        <v>6</v>
      </c>
      <c r="C334" s="64">
        <v>-33659.589999999997</v>
      </c>
      <c r="D334" s="54"/>
      <c r="E334" s="54">
        <v>3087045</v>
      </c>
      <c r="F334" s="55">
        <v>44011</v>
      </c>
      <c r="G334" s="56" t="s">
        <v>426</v>
      </c>
      <c r="H334" s="54"/>
    </row>
    <row r="335" spans="1:8">
      <c r="A335" s="8" t="s">
        <v>70</v>
      </c>
      <c r="B335" s="44" t="s">
        <v>10</v>
      </c>
      <c r="C335" s="64">
        <f>(1*110)*-1</f>
        <v>-110</v>
      </c>
      <c r="D335" s="54"/>
      <c r="E335" s="54">
        <v>242377</v>
      </c>
      <c r="F335" s="55">
        <v>44056</v>
      </c>
      <c r="G335" s="57" t="s">
        <v>518</v>
      </c>
      <c r="H335" s="54"/>
    </row>
    <row r="336" spans="1:8">
      <c r="B336" s="44" t="s">
        <v>63</v>
      </c>
      <c r="C336" s="64">
        <v>-744</v>
      </c>
      <c r="D336" s="54"/>
      <c r="E336" s="54">
        <v>2690</v>
      </c>
      <c r="F336" s="55">
        <v>44056</v>
      </c>
      <c r="G336" s="51" t="s">
        <v>573</v>
      </c>
      <c r="H336" s="54"/>
    </row>
    <row r="337" spans="1:8">
      <c r="A337" s="8" t="s">
        <v>17</v>
      </c>
      <c r="B337" s="62" t="s">
        <v>22</v>
      </c>
      <c r="C337" s="64">
        <f>(253.5*125)*-1</f>
        <v>-31687.5</v>
      </c>
      <c r="D337" s="54"/>
      <c r="E337" s="57">
        <v>1465260</v>
      </c>
      <c r="F337" s="55">
        <v>44057</v>
      </c>
      <c r="G337" s="56" t="s">
        <v>463</v>
      </c>
      <c r="H337" s="54"/>
    </row>
    <row r="338" spans="1:8">
      <c r="A338" s="8" t="s">
        <v>17</v>
      </c>
      <c r="B338" s="44" t="s">
        <v>24</v>
      </c>
      <c r="C338" s="64">
        <f>(7*125)*-1</f>
        <v>-875</v>
      </c>
      <c r="D338" s="54"/>
      <c r="E338" s="57">
        <v>1465260</v>
      </c>
      <c r="F338" s="55">
        <v>44057</v>
      </c>
      <c r="G338" s="56" t="s">
        <v>467</v>
      </c>
      <c r="H338" s="54"/>
    </row>
    <row r="339" spans="1:8">
      <c r="B339" s="44" t="s">
        <v>27</v>
      </c>
      <c r="C339" s="64">
        <f>(1*200)*-1</f>
        <v>-200</v>
      </c>
      <c r="D339" s="51" t="s">
        <v>470</v>
      </c>
      <c r="E339" s="57">
        <v>1465260</v>
      </c>
      <c r="F339" s="55">
        <v>44057</v>
      </c>
      <c r="G339" s="55" t="s">
        <v>871</v>
      </c>
      <c r="H339" s="54"/>
    </row>
    <row r="340" spans="1:8">
      <c r="B340" s="44" t="s">
        <v>28</v>
      </c>
      <c r="C340" s="64">
        <f>(1*200)*-1</f>
        <v>-200</v>
      </c>
      <c r="D340" s="54"/>
      <c r="E340" s="57">
        <v>1465260</v>
      </c>
      <c r="F340" s="55">
        <v>44057</v>
      </c>
      <c r="G340" s="51" t="s">
        <v>471</v>
      </c>
      <c r="H340" s="54"/>
    </row>
    <row r="341" spans="1:8">
      <c r="B341" s="44" t="s">
        <v>29</v>
      </c>
      <c r="C341" s="64">
        <f>(1*200)*-1</f>
        <v>-200</v>
      </c>
      <c r="D341" s="54"/>
      <c r="E341" s="57">
        <v>1465260</v>
      </c>
      <c r="F341" s="55">
        <v>44057</v>
      </c>
      <c r="G341" s="51" t="s">
        <v>472</v>
      </c>
      <c r="H341" s="54"/>
    </row>
    <row r="342" spans="1:8">
      <c r="B342" s="44" t="s">
        <v>30</v>
      </c>
      <c r="C342" s="64">
        <f>(1*200)*-1</f>
        <v>-200</v>
      </c>
      <c r="D342" s="54"/>
      <c r="E342" s="57">
        <v>1465260</v>
      </c>
      <c r="F342" s="55">
        <v>44057</v>
      </c>
      <c r="G342" s="51" t="s">
        <v>473</v>
      </c>
      <c r="H342" s="54"/>
    </row>
    <row r="343" spans="1:8">
      <c r="B343" s="44" t="s">
        <v>60</v>
      </c>
      <c r="C343" s="64">
        <v>-1284</v>
      </c>
      <c r="D343" s="54"/>
      <c r="E343" s="54">
        <v>423763</v>
      </c>
      <c r="F343" s="55">
        <v>44057</v>
      </c>
      <c r="G343" s="51" t="s">
        <v>504</v>
      </c>
      <c r="H343" s="54"/>
    </row>
    <row r="344" spans="1:8">
      <c r="B344" s="44" t="s">
        <v>37</v>
      </c>
      <c r="C344" s="64">
        <v>-52661.47</v>
      </c>
      <c r="D344" s="53" t="s">
        <v>866</v>
      </c>
      <c r="E344" s="54"/>
      <c r="F344" s="55">
        <v>44060</v>
      </c>
      <c r="G344" s="56" t="s">
        <v>552</v>
      </c>
      <c r="H344" s="54"/>
    </row>
    <row r="345" spans="1:8">
      <c r="A345" s="8" t="s">
        <v>70</v>
      </c>
      <c r="B345" s="44" t="s">
        <v>6</v>
      </c>
      <c r="C345" s="64">
        <v>-25031.59</v>
      </c>
      <c r="D345" s="54"/>
      <c r="E345" s="54">
        <v>3089126</v>
      </c>
      <c r="F345" s="55">
        <v>44166</v>
      </c>
      <c r="G345" s="56" t="s">
        <v>429</v>
      </c>
      <c r="H345" s="54"/>
    </row>
    <row r="346" spans="1:8">
      <c r="A346" s="8" t="s">
        <v>70</v>
      </c>
      <c r="B346" s="44" t="s">
        <v>6</v>
      </c>
      <c r="C346" s="64">
        <f>(137.75*110)*-1</f>
        <v>-15152.5</v>
      </c>
      <c r="D346" s="54"/>
      <c r="E346" s="54">
        <v>242519</v>
      </c>
      <c r="F346" s="55">
        <v>44061</v>
      </c>
      <c r="G346" s="56" t="s">
        <v>508</v>
      </c>
      <c r="H346" s="54"/>
    </row>
    <row r="347" spans="1:8">
      <c r="A347" s="8" t="s">
        <v>70</v>
      </c>
      <c r="B347" s="44" t="s">
        <v>11</v>
      </c>
      <c r="C347" s="64">
        <f>(12*110)*-1</f>
        <v>-1320</v>
      </c>
      <c r="D347" s="54"/>
      <c r="E347" s="54">
        <v>242519</v>
      </c>
      <c r="F347" s="55">
        <v>44061</v>
      </c>
      <c r="G347" s="56" t="s">
        <v>520</v>
      </c>
      <c r="H347" s="54"/>
    </row>
    <row r="348" spans="1:8">
      <c r="A348" s="8" t="s">
        <v>70</v>
      </c>
      <c r="B348" s="44" t="s">
        <v>15</v>
      </c>
      <c r="C348" s="64">
        <f>(2.25*110)*-1</f>
        <v>-247.5</v>
      </c>
      <c r="D348" s="54"/>
      <c r="E348" s="54">
        <v>242519</v>
      </c>
      <c r="F348" s="55">
        <v>44061</v>
      </c>
      <c r="G348" s="51" t="s">
        <v>526</v>
      </c>
      <c r="H348" s="54"/>
    </row>
    <row r="349" spans="1:8">
      <c r="A349" s="8" t="s">
        <v>70</v>
      </c>
      <c r="B349" s="44" t="s">
        <v>12</v>
      </c>
      <c r="C349" s="64">
        <f>(2*110)*-1</f>
        <v>-220</v>
      </c>
      <c r="D349" s="54"/>
      <c r="E349" s="54">
        <v>242636</v>
      </c>
      <c r="F349" s="55">
        <v>44063</v>
      </c>
      <c r="G349" s="56" t="s">
        <v>522</v>
      </c>
      <c r="H349" s="54"/>
    </row>
    <row r="350" spans="1:8">
      <c r="A350" s="8" t="s">
        <v>70</v>
      </c>
      <c r="B350" s="44" t="s">
        <v>13</v>
      </c>
      <c r="C350" s="64">
        <v>-100</v>
      </c>
      <c r="D350" s="54"/>
      <c r="E350" s="54">
        <v>242636</v>
      </c>
      <c r="F350" s="55">
        <v>44063</v>
      </c>
      <c r="G350" s="51" t="s">
        <v>523</v>
      </c>
      <c r="H350" s="54"/>
    </row>
    <row r="351" spans="1:8">
      <c r="A351" s="8" t="s">
        <v>70</v>
      </c>
      <c r="B351" s="44" t="s">
        <v>8</v>
      </c>
      <c r="C351" s="64">
        <v>-6637.69</v>
      </c>
      <c r="D351" s="54"/>
      <c r="E351" s="54">
        <v>3087784</v>
      </c>
      <c r="F351" s="55">
        <v>44067</v>
      </c>
      <c r="G351" s="57" t="s">
        <v>433</v>
      </c>
      <c r="H351" s="54"/>
    </row>
    <row r="352" spans="1:8">
      <c r="A352" s="8" t="s">
        <v>70</v>
      </c>
      <c r="B352" s="44" t="s">
        <v>6</v>
      </c>
      <c r="C352" s="64">
        <v>-28058.69</v>
      </c>
      <c r="D352" s="54"/>
      <c r="E352" s="54">
        <v>3087597</v>
      </c>
      <c r="F352" s="55">
        <v>44056</v>
      </c>
      <c r="G352" s="55" t="s">
        <v>507</v>
      </c>
      <c r="H352" s="54"/>
    </row>
    <row r="353" spans="1:8">
      <c r="A353" s="8" t="s">
        <v>70</v>
      </c>
      <c r="B353" s="44" t="s">
        <v>7</v>
      </c>
      <c r="C353" s="64">
        <v>-18688.46</v>
      </c>
      <c r="D353" s="54"/>
      <c r="E353" s="54">
        <v>3087784</v>
      </c>
      <c r="F353" s="55">
        <v>44067</v>
      </c>
      <c r="G353" s="56" t="s">
        <v>512</v>
      </c>
      <c r="H353" s="54"/>
    </row>
    <row r="354" spans="1:8">
      <c r="A354" s="8" t="s">
        <v>70</v>
      </c>
      <c r="B354" s="44" t="s">
        <v>9</v>
      </c>
      <c r="C354" s="64">
        <v>-2346.5300000000002</v>
      </c>
      <c r="D354" s="54"/>
      <c r="E354" s="54">
        <v>3087784</v>
      </c>
      <c r="F354" s="55">
        <v>44067</v>
      </c>
      <c r="G354" s="57" t="s">
        <v>515</v>
      </c>
      <c r="H354" s="54"/>
    </row>
    <row r="355" spans="1:8">
      <c r="A355" s="8" t="s">
        <v>70</v>
      </c>
      <c r="B355" s="44" t="s">
        <v>10</v>
      </c>
      <c r="C355" s="64">
        <v>-639.04999999999995</v>
      </c>
      <c r="D355" s="54"/>
      <c r="E355" s="54">
        <v>3087784</v>
      </c>
      <c r="F355" s="55">
        <v>44067</v>
      </c>
      <c r="G355" s="57" t="s">
        <v>517</v>
      </c>
      <c r="H355" s="54"/>
    </row>
    <row r="356" spans="1:8">
      <c r="A356" s="8" t="s">
        <v>70</v>
      </c>
      <c r="B356" s="44" t="s">
        <v>12</v>
      </c>
      <c r="C356" s="64">
        <v>-1462.86</v>
      </c>
      <c r="D356" s="54"/>
      <c r="E356" s="54">
        <v>3087784</v>
      </c>
      <c r="F356" s="55">
        <v>44067</v>
      </c>
      <c r="G356" s="56" t="s">
        <v>521</v>
      </c>
      <c r="H356" s="54"/>
    </row>
    <row r="357" spans="1:8">
      <c r="A357" s="8" t="s">
        <v>17</v>
      </c>
      <c r="B357" s="44" t="s">
        <v>18</v>
      </c>
      <c r="C357" s="64">
        <f>(287.5*125)*-1</f>
        <v>-35937.5</v>
      </c>
      <c r="D357" s="54"/>
      <c r="E357" s="54"/>
      <c r="F357" s="55">
        <v>44067</v>
      </c>
      <c r="G357" s="56" t="s">
        <v>529</v>
      </c>
      <c r="H357" s="54"/>
    </row>
    <row r="358" spans="1:8">
      <c r="A358" s="8" t="s">
        <v>17</v>
      </c>
      <c r="B358" s="44" t="s">
        <v>19</v>
      </c>
      <c r="C358" s="64">
        <f>(132.25*125)*-1</f>
        <v>-16531.25</v>
      </c>
      <c r="D358" s="54"/>
      <c r="E358" s="54"/>
      <c r="F358" s="55">
        <v>44067</v>
      </c>
      <c r="G358" s="56" t="s">
        <v>532</v>
      </c>
      <c r="H358" s="54"/>
    </row>
    <row r="359" spans="1:8">
      <c r="B359" s="44" t="s">
        <v>31</v>
      </c>
      <c r="C359" s="64">
        <f>(1.5*110)*-1</f>
        <v>-165</v>
      </c>
      <c r="D359" s="54"/>
      <c r="E359" s="54"/>
      <c r="F359" s="55">
        <v>44067</v>
      </c>
      <c r="G359" s="56" t="s">
        <v>548</v>
      </c>
      <c r="H359" s="54"/>
    </row>
    <row r="360" spans="1:8">
      <c r="A360" s="8" t="s">
        <v>17</v>
      </c>
      <c r="B360" s="35" t="s">
        <v>21</v>
      </c>
      <c r="C360" s="64">
        <f>(44.25*125)*-1</f>
        <v>-5531.25</v>
      </c>
      <c r="D360" s="54"/>
      <c r="E360" s="54"/>
      <c r="F360" s="55">
        <v>44067</v>
      </c>
      <c r="G360" s="56" t="s">
        <v>536</v>
      </c>
      <c r="H360" s="54"/>
    </row>
    <row r="361" spans="1:8">
      <c r="A361" s="8" t="s">
        <v>17</v>
      </c>
      <c r="B361" s="44" t="s">
        <v>20</v>
      </c>
      <c r="C361" s="64">
        <f>(7.5*125)*-1</f>
        <v>-937.5</v>
      </c>
      <c r="D361" s="54"/>
      <c r="E361" s="54"/>
      <c r="F361" s="55">
        <v>44067</v>
      </c>
      <c r="G361" s="51" t="s">
        <v>534</v>
      </c>
      <c r="H361" s="54"/>
    </row>
    <row r="362" spans="1:8">
      <c r="B362" s="44" t="s">
        <v>59</v>
      </c>
      <c r="C362" s="64">
        <v>-784.9</v>
      </c>
      <c r="D362" s="54"/>
      <c r="E362" s="54">
        <v>739690</v>
      </c>
      <c r="F362" s="55">
        <v>44067</v>
      </c>
      <c r="G362" s="51" t="s">
        <v>570</v>
      </c>
      <c r="H362" s="54"/>
    </row>
    <row r="363" spans="1:8">
      <c r="B363" s="44" t="s">
        <v>131</v>
      </c>
      <c r="C363" s="64">
        <v>-22010.51</v>
      </c>
      <c r="D363" s="53" t="s">
        <v>866</v>
      </c>
      <c r="E363" s="54"/>
      <c r="F363" s="55">
        <v>44069</v>
      </c>
      <c r="G363" s="56" t="s">
        <v>560</v>
      </c>
      <c r="H363" s="54"/>
    </row>
    <row r="364" spans="1:8">
      <c r="B364" s="44" t="s">
        <v>37</v>
      </c>
      <c r="C364" s="64">
        <f>(62*150)*-1</f>
        <v>-9300</v>
      </c>
      <c r="D364" s="54" t="s">
        <v>866</v>
      </c>
      <c r="E364" s="54"/>
      <c r="F364" s="55">
        <v>44069</v>
      </c>
      <c r="G364" s="56" t="s">
        <v>554</v>
      </c>
      <c r="H364" s="54"/>
    </row>
    <row r="365" spans="1:8">
      <c r="B365" s="44" t="s">
        <v>567</v>
      </c>
      <c r="C365" s="64">
        <v>-105</v>
      </c>
      <c r="D365" s="54" t="s">
        <v>866</v>
      </c>
      <c r="E365" s="54"/>
      <c r="F365" s="55">
        <v>44069</v>
      </c>
      <c r="G365" s="51" t="s">
        <v>568</v>
      </c>
      <c r="H365" s="54"/>
    </row>
    <row r="366" spans="1:8">
      <c r="A366" s="8" t="s">
        <v>70</v>
      </c>
      <c r="B366" s="44" t="s">
        <v>16</v>
      </c>
      <c r="C366" s="64">
        <v>-1087.95</v>
      </c>
      <c r="D366" s="54"/>
      <c r="E366" s="54">
        <v>12709</v>
      </c>
      <c r="F366" s="55">
        <v>44070</v>
      </c>
      <c r="G366" s="56" t="s">
        <v>527</v>
      </c>
      <c r="H366" s="54"/>
    </row>
    <row r="367" spans="1:8">
      <c r="B367" s="44" t="s">
        <v>36</v>
      </c>
      <c r="C367" s="64">
        <v>-10367.65</v>
      </c>
      <c r="D367" s="54" t="s">
        <v>866</v>
      </c>
      <c r="E367" s="54"/>
      <c r="F367" s="55">
        <v>44070</v>
      </c>
      <c r="G367" s="56" t="s">
        <v>551</v>
      </c>
      <c r="H367" s="54"/>
    </row>
    <row r="368" spans="1:8">
      <c r="A368" s="8" t="s">
        <v>70</v>
      </c>
      <c r="B368" s="44" t="s">
        <v>7</v>
      </c>
      <c r="C368" s="64">
        <v>-16426.060000000001</v>
      </c>
      <c r="D368" s="54"/>
      <c r="E368" s="54">
        <v>3087683</v>
      </c>
      <c r="F368" s="55">
        <v>44071</v>
      </c>
      <c r="G368" s="56" t="s">
        <v>510</v>
      </c>
      <c r="H368" s="54"/>
    </row>
    <row r="369" spans="1:8">
      <c r="A369" s="8" t="s">
        <v>70</v>
      </c>
      <c r="B369" s="44" t="s">
        <v>11</v>
      </c>
      <c r="C369" s="64">
        <v>-7695.62</v>
      </c>
      <c r="D369" s="54"/>
      <c r="E369" s="54">
        <v>3087889</v>
      </c>
      <c r="F369" s="55">
        <v>44074</v>
      </c>
      <c r="G369" s="56" t="s">
        <v>519</v>
      </c>
      <c r="H369" s="54"/>
    </row>
    <row r="370" spans="1:8">
      <c r="B370" s="44" t="s">
        <v>41</v>
      </c>
      <c r="C370" s="64">
        <v>-4550.24</v>
      </c>
      <c r="D370" s="54"/>
      <c r="E370" s="54">
        <v>70882</v>
      </c>
      <c r="F370" s="55">
        <v>44074</v>
      </c>
      <c r="G370" s="56" t="s">
        <v>558</v>
      </c>
      <c r="H370" s="54"/>
    </row>
    <row r="371" spans="1:8">
      <c r="B371" s="44" t="s">
        <v>41</v>
      </c>
      <c r="C371" s="64">
        <v>-500</v>
      </c>
      <c r="D371" s="54"/>
      <c r="E371" s="54">
        <v>70882</v>
      </c>
      <c r="F371" s="55">
        <v>44074</v>
      </c>
      <c r="G371" s="56" t="s">
        <v>559</v>
      </c>
      <c r="H371" s="54"/>
    </row>
    <row r="372" spans="1:8">
      <c r="A372" s="8" t="s">
        <v>17</v>
      </c>
      <c r="B372" s="44" t="s">
        <v>26</v>
      </c>
      <c r="C372" s="64">
        <f>(1.25*150)*-1</f>
        <v>-187.5</v>
      </c>
      <c r="D372" s="54"/>
      <c r="E372" s="57">
        <v>1076821</v>
      </c>
      <c r="F372" s="55">
        <v>44074</v>
      </c>
      <c r="G372" s="51" t="s">
        <v>546</v>
      </c>
      <c r="H372" s="54"/>
    </row>
    <row r="373" spans="1:8">
      <c r="B373" s="44" t="s">
        <v>52</v>
      </c>
      <c r="C373" s="64">
        <v>-675.4</v>
      </c>
      <c r="D373" s="54"/>
      <c r="E373" s="54">
        <v>33662045</v>
      </c>
      <c r="F373" s="55">
        <v>44074</v>
      </c>
      <c r="G373" s="51" t="s">
        <v>563</v>
      </c>
      <c r="H373" s="54"/>
    </row>
    <row r="374" spans="1:8">
      <c r="A374" s="8" t="s">
        <v>70</v>
      </c>
      <c r="B374" s="44" t="s">
        <v>9</v>
      </c>
      <c r="C374" s="64">
        <f>(1*110)*-1</f>
        <v>-110</v>
      </c>
      <c r="D374" s="54"/>
      <c r="E374" s="54">
        <v>243466</v>
      </c>
      <c r="F374" s="55">
        <v>44075</v>
      </c>
      <c r="G374" s="57" t="s">
        <v>516</v>
      </c>
      <c r="H374" s="54"/>
    </row>
    <row r="375" spans="1:8">
      <c r="A375" s="8" t="s">
        <v>17</v>
      </c>
      <c r="B375" s="44" t="s">
        <v>25</v>
      </c>
      <c r="C375" s="64">
        <f>(2*125)*-1</f>
        <v>-250</v>
      </c>
      <c r="D375" s="54"/>
      <c r="E375" s="57">
        <v>1478891</v>
      </c>
      <c r="F375" s="55">
        <v>44077</v>
      </c>
      <c r="G375" s="56" t="s">
        <v>468</v>
      </c>
      <c r="H375" s="54"/>
    </row>
    <row r="376" spans="1:8">
      <c r="B376" s="44" t="s">
        <v>131</v>
      </c>
      <c r="C376" s="64">
        <v>-20833.330000000002</v>
      </c>
      <c r="D376" s="53" t="s">
        <v>866</v>
      </c>
      <c r="E376" s="57"/>
      <c r="F376" s="55">
        <v>44077</v>
      </c>
      <c r="G376" s="56" t="s">
        <v>560</v>
      </c>
      <c r="H376" s="54"/>
    </row>
    <row r="377" spans="1:8">
      <c r="B377" s="44" t="s">
        <v>60</v>
      </c>
      <c r="C377" s="64">
        <v>-674</v>
      </c>
      <c r="D377" s="53"/>
      <c r="E377" s="54">
        <v>424315</v>
      </c>
      <c r="F377" s="55">
        <v>44077</v>
      </c>
      <c r="G377" s="51" t="s">
        <v>571</v>
      </c>
      <c r="H377" s="54"/>
    </row>
    <row r="378" spans="1:8">
      <c r="A378" s="8" t="s">
        <v>70</v>
      </c>
      <c r="B378" s="44" t="s">
        <v>16</v>
      </c>
      <c r="C378" s="64">
        <v>-895.39</v>
      </c>
      <c r="D378" s="54"/>
      <c r="E378" s="57">
        <v>12765</v>
      </c>
      <c r="F378" s="55">
        <v>44082</v>
      </c>
      <c r="G378" s="56" t="s">
        <v>166</v>
      </c>
      <c r="H378" s="54"/>
    </row>
    <row r="379" spans="1:8">
      <c r="A379" s="8" t="s">
        <v>17</v>
      </c>
      <c r="B379" s="35" t="s">
        <v>21</v>
      </c>
      <c r="C379" s="64">
        <f>(46.5*125)*-1</f>
        <v>-5812.5</v>
      </c>
      <c r="D379" s="54"/>
      <c r="E379" s="54">
        <v>1479396</v>
      </c>
      <c r="F379" s="55">
        <v>44082</v>
      </c>
      <c r="G379" s="56" t="s">
        <v>460</v>
      </c>
      <c r="H379" s="54"/>
    </row>
    <row r="380" spans="1:8">
      <c r="A380" s="8" t="s">
        <v>17</v>
      </c>
      <c r="B380" s="44" t="s">
        <v>18</v>
      </c>
      <c r="C380" s="64">
        <f>(251.75*125)*-1</f>
        <v>-31468.75</v>
      </c>
      <c r="D380" s="54"/>
      <c r="E380" s="54">
        <v>1479396</v>
      </c>
      <c r="F380" s="55">
        <v>44082</v>
      </c>
      <c r="G380" s="56" t="s">
        <v>453</v>
      </c>
      <c r="H380" s="54"/>
    </row>
    <row r="381" spans="1:8">
      <c r="A381" s="8" t="s">
        <v>17</v>
      </c>
      <c r="B381" s="44" t="s">
        <v>19</v>
      </c>
      <c r="C381" s="64">
        <f>(111.5*125)*-1</f>
        <v>-13937.5</v>
      </c>
      <c r="D381" s="54"/>
      <c r="E381" s="54">
        <v>1479396</v>
      </c>
      <c r="F381" s="55">
        <v>44082</v>
      </c>
      <c r="G381" s="56" t="s">
        <v>456</v>
      </c>
      <c r="H381" s="54"/>
    </row>
    <row r="382" spans="1:8">
      <c r="A382" s="8" t="s">
        <v>17</v>
      </c>
      <c r="B382" s="44" t="s">
        <v>20</v>
      </c>
      <c r="C382" s="64">
        <f>(14*125)*-1</f>
        <v>-1750</v>
      </c>
      <c r="D382" s="54"/>
      <c r="E382" s="54">
        <v>1479396</v>
      </c>
      <c r="F382" s="55">
        <v>44082</v>
      </c>
      <c r="G382" s="51" t="s">
        <v>458</v>
      </c>
      <c r="H382" s="54"/>
    </row>
    <row r="383" spans="1:8">
      <c r="B383" s="44" t="s">
        <v>52</v>
      </c>
      <c r="C383" s="64">
        <v>-1070.45</v>
      </c>
      <c r="D383" s="54"/>
      <c r="E383" s="54">
        <v>33662157</v>
      </c>
      <c r="F383" s="55">
        <v>44082</v>
      </c>
      <c r="G383" s="51" t="s">
        <v>499</v>
      </c>
      <c r="H383" s="54"/>
    </row>
    <row r="384" spans="1:8">
      <c r="A384" s="8" t="s">
        <v>17</v>
      </c>
      <c r="B384" s="35" t="s">
        <v>21</v>
      </c>
      <c r="C384" s="64">
        <v>-24413.05</v>
      </c>
      <c r="D384" s="54"/>
      <c r="E384" s="54">
        <v>1479395</v>
      </c>
      <c r="F384" s="55">
        <v>44082</v>
      </c>
      <c r="G384" s="56" t="s">
        <v>537</v>
      </c>
      <c r="H384" s="54"/>
    </row>
    <row r="385" spans="1:8">
      <c r="B385" s="44" t="s">
        <v>31</v>
      </c>
      <c r="C385" s="64">
        <v>-5288.08</v>
      </c>
      <c r="D385" s="54"/>
      <c r="E385" s="54">
        <v>1728842</v>
      </c>
      <c r="F385" s="55">
        <v>44082</v>
      </c>
      <c r="G385" s="56" t="s">
        <v>547</v>
      </c>
      <c r="H385" s="54"/>
    </row>
    <row r="386" spans="1:8">
      <c r="B386" s="44" t="s">
        <v>39</v>
      </c>
      <c r="C386" s="64">
        <v>-500</v>
      </c>
      <c r="D386" s="54"/>
      <c r="E386" s="57">
        <v>183503</v>
      </c>
      <c r="F386" s="55">
        <v>44082</v>
      </c>
      <c r="G386" s="56" t="s">
        <v>556</v>
      </c>
      <c r="H386" s="54"/>
    </row>
    <row r="387" spans="1:8">
      <c r="A387" s="8" t="s">
        <v>17</v>
      </c>
      <c r="B387" s="35" t="s">
        <v>21</v>
      </c>
      <c r="C387" s="64">
        <v>-27353.58</v>
      </c>
      <c r="D387" s="54"/>
      <c r="E387" s="54">
        <v>1479395</v>
      </c>
      <c r="F387" s="55">
        <v>44082</v>
      </c>
      <c r="G387" s="56" t="s">
        <v>601</v>
      </c>
      <c r="H387" s="54"/>
    </row>
    <row r="388" spans="1:8">
      <c r="B388" s="44" t="s">
        <v>54</v>
      </c>
      <c r="C388" s="64">
        <v>-377</v>
      </c>
      <c r="D388" s="54"/>
      <c r="E388" s="54">
        <v>1880</v>
      </c>
      <c r="F388" s="55">
        <v>44082</v>
      </c>
      <c r="G388" s="51" t="s">
        <v>628</v>
      </c>
      <c r="H388" s="54"/>
    </row>
    <row r="389" spans="1:8">
      <c r="B389" s="44" t="s">
        <v>36</v>
      </c>
      <c r="C389" s="64">
        <v>-16695.54</v>
      </c>
      <c r="D389" s="54" t="s">
        <v>866</v>
      </c>
      <c r="E389" s="54"/>
      <c r="F389" s="55">
        <v>44083</v>
      </c>
      <c r="G389" s="56" t="s">
        <v>614</v>
      </c>
      <c r="H389" s="54"/>
    </row>
    <row r="390" spans="1:8">
      <c r="A390" s="8" t="s">
        <v>17</v>
      </c>
      <c r="B390" s="62" t="s">
        <v>22</v>
      </c>
      <c r="C390" s="64">
        <f>(264.75*125)*-1</f>
        <v>-33093.75</v>
      </c>
      <c r="D390" s="54"/>
      <c r="E390" s="57">
        <v>1480401</v>
      </c>
      <c r="F390" s="55">
        <v>44085</v>
      </c>
      <c r="G390" s="56" t="s">
        <v>539</v>
      </c>
      <c r="H390" s="54"/>
    </row>
    <row r="391" spans="1:8">
      <c r="A391" s="8" t="s">
        <v>17</v>
      </c>
      <c r="B391" s="44" t="s">
        <v>25</v>
      </c>
      <c r="C391" s="66">
        <v>-156.25</v>
      </c>
      <c r="D391" s="54"/>
      <c r="E391" s="57">
        <v>1480401</v>
      </c>
      <c r="F391" s="55">
        <v>44085</v>
      </c>
      <c r="G391" s="56" t="s">
        <v>544</v>
      </c>
      <c r="H391" s="54"/>
    </row>
    <row r="392" spans="1:8">
      <c r="B392" s="44" t="s">
        <v>53</v>
      </c>
      <c r="C392" s="64">
        <v>-1645</v>
      </c>
      <c r="D392" s="54"/>
      <c r="E392" s="54">
        <v>2450</v>
      </c>
      <c r="F392" s="55">
        <v>44085</v>
      </c>
      <c r="G392" s="51" t="s">
        <v>627</v>
      </c>
      <c r="H392" s="54"/>
    </row>
    <row r="393" spans="1:8">
      <c r="B393" s="44" t="s">
        <v>39</v>
      </c>
      <c r="C393" s="64">
        <v>-8032.86</v>
      </c>
      <c r="D393" s="54"/>
      <c r="E393" s="54">
        <v>183657</v>
      </c>
      <c r="F393" s="55">
        <v>44088</v>
      </c>
      <c r="G393" s="56" t="s">
        <v>555</v>
      </c>
      <c r="H393" s="54"/>
    </row>
    <row r="394" spans="1:8">
      <c r="B394" s="44" t="s">
        <v>50</v>
      </c>
      <c r="C394" s="64">
        <v>-1472</v>
      </c>
      <c r="D394" s="54"/>
      <c r="E394" s="54">
        <v>2400244861</v>
      </c>
      <c r="F394" s="55">
        <v>44088</v>
      </c>
      <c r="G394" s="51" t="s">
        <v>562</v>
      </c>
      <c r="H394" s="54"/>
    </row>
    <row r="395" spans="1:8">
      <c r="A395" s="8" t="s">
        <v>70</v>
      </c>
      <c r="B395" s="44" t="s">
        <v>6</v>
      </c>
      <c r="C395" s="64">
        <v>-38268.75</v>
      </c>
      <c r="D395" s="54"/>
      <c r="E395" s="54">
        <v>3087784</v>
      </c>
      <c r="F395" s="55">
        <v>44067</v>
      </c>
      <c r="G395" s="56" t="s">
        <v>507</v>
      </c>
      <c r="H395" s="54"/>
    </row>
    <row r="396" spans="1:8">
      <c r="A396" s="8" t="s">
        <v>70</v>
      </c>
      <c r="B396" s="44" t="s">
        <v>7</v>
      </c>
      <c r="C396" s="64">
        <v>-26565.33</v>
      </c>
      <c r="D396" s="54"/>
      <c r="E396" s="54">
        <v>3088069</v>
      </c>
      <c r="F396" s="55">
        <v>44088</v>
      </c>
      <c r="G396" s="56" t="s">
        <v>579</v>
      </c>
      <c r="H396" s="54"/>
    </row>
    <row r="397" spans="1:8">
      <c r="A397" s="8" t="s">
        <v>70</v>
      </c>
      <c r="B397" s="44" t="s">
        <v>8</v>
      </c>
      <c r="C397" s="64">
        <v>-9487.85</v>
      </c>
      <c r="D397" s="54"/>
      <c r="E397" s="54">
        <v>3088069</v>
      </c>
      <c r="F397" s="55">
        <v>44088</v>
      </c>
      <c r="G397" s="57" t="s">
        <v>580</v>
      </c>
      <c r="H397" s="54"/>
    </row>
    <row r="398" spans="1:8">
      <c r="A398" s="8" t="s">
        <v>70</v>
      </c>
      <c r="B398" s="44" t="s">
        <v>9</v>
      </c>
      <c r="C398" s="64">
        <v>-2005.49</v>
      </c>
      <c r="D398" s="54"/>
      <c r="E398" s="54">
        <v>3088069</v>
      </c>
      <c r="F398" s="55">
        <v>44088</v>
      </c>
      <c r="G398" s="57" t="s">
        <v>582</v>
      </c>
      <c r="H398" s="54"/>
    </row>
    <row r="399" spans="1:8">
      <c r="A399" s="8" t="s">
        <v>70</v>
      </c>
      <c r="B399" s="44" t="s">
        <v>10</v>
      </c>
      <c r="C399" s="64">
        <v>-780.32</v>
      </c>
      <c r="D399" s="54"/>
      <c r="E399" s="54">
        <v>3088069</v>
      </c>
      <c r="F399" s="55">
        <v>44088</v>
      </c>
      <c r="G399" s="57" t="s">
        <v>584</v>
      </c>
      <c r="H399" s="54"/>
    </row>
    <row r="400" spans="1:8">
      <c r="A400" s="8" t="s">
        <v>70</v>
      </c>
      <c r="B400" s="44" t="s">
        <v>11</v>
      </c>
      <c r="C400" s="64">
        <v>-7252.26</v>
      </c>
      <c r="D400" s="54"/>
      <c r="E400" s="54">
        <v>3088069</v>
      </c>
      <c r="F400" s="55">
        <v>44088</v>
      </c>
      <c r="G400" s="56" t="s">
        <v>586</v>
      </c>
      <c r="H400" s="54"/>
    </row>
    <row r="401" spans="1:8">
      <c r="B401" s="44" t="s">
        <v>63</v>
      </c>
      <c r="C401" s="64">
        <v>-700</v>
      </c>
      <c r="D401" s="54"/>
      <c r="E401" s="54">
        <v>2694</v>
      </c>
      <c r="F401" s="55">
        <v>44089</v>
      </c>
      <c r="G401" s="51" t="s">
        <v>635</v>
      </c>
      <c r="H401" s="54"/>
    </row>
    <row r="402" spans="1:8">
      <c r="B402" s="44" t="s">
        <v>36</v>
      </c>
      <c r="C402" s="64">
        <v>-9722.5499999999993</v>
      </c>
      <c r="D402" s="54" t="s">
        <v>866</v>
      </c>
      <c r="E402" s="57"/>
      <c r="F402" s="55">
        <v>44090</v>
      </c>
      <c r="G402" s="56" t="s">
        <v>338</v>
      </c>
      <c r="H402" s="54"/>
    </row>
    <row r="403" spans="1:8">
      <c r="B403" s="44" t="s">
        <v>58</v>
      </c>
      <c r="C403" s="64">
        <v>-50</v>
      </c>
      <c r="D403" s="54"/>
      <c r="E403" s="54">
        <v>124768</v>
      </c>
      <c r="F403" s="55">
        <v>44090</v>
      </c>
      <c r="G403" s="51" t="s">
        <v>421</v>
      </c>
      <c r="H403" s="54"/>
    </row>
    <row r="404" spans="1:8">
      <c r="B404" s="44" t="s">
        <v>58</v>
      </c>
      <c r="C404" s="64">
        <v>-50</v>
      </c>
      <c r="D404" s="54"/>
      <c r="E404" s="54">
        <v>124768</v>
      </c>
      <c r="F404" s="55">
        <v>44090</v>
      </c>
      <c r="G404" s="51" t="s">
        <v>569</v>
      </c>
      <c r="H404" s="54"/>
    </row>
    <row r="405" spans="1:8">
      <c r="B405" s="44" t="s">
        <v>36</v>
      </c>
      <c r="C405" s="64">
        <v>-15280</v>
      </c>
      <c r="D405" s="54" t="s">
        <v>866</v>
      </c>
      <c r="E405" s="54"/>
      <c r="F405" s="55">
        <v>44090</v>
      </c>
      <c r="G405" s="56" t="s">
        <v>615</v>
      </c>
      <c r="H405" s="54"/>
    </row>
    <row r="406" spans="1:8">
      <c r="A406" s="8" t="s">
        <v>70</v>
      </c>
      <c r="B406" s="44" t="s">
        <v>8</v>
      </c>
      <c r="C406" s="64">
        <f>(16.5*110)*-1</f>
        <v>-1815</v>
      </c>
      <c r="D406" s="54"/>
      <c r="E406" s="57">
        <v>244482</v>
      </c>
      <c r="F406" s="55">
        <v>44090</v>
      </c>
      <c r="G406" s="57" t="s">
        <v>581</v>
      </c>
      <c r="H406" s="54"/>
    </row>
    <row r="407" spans="1:8">
      <c r="B407" s="44" t="s">
        <v>59</v>
      </c>
      <c r="C407" s="64">
        <v>-930.45</v>
      </c>
      <c r="D407" s="54"/>
      <c r="E407" s="54">
        <v>740747</v>
      </c>
      <c r="F407" s="55">
        <v>44091</v>
      </c>
      <c r="G407" s="51" t="s">
        <v>633</v>
      </c>
      <c r="H407" s="54"/>
    </row>
    <row r="408" spans="1:8">
      <c r="B408" s="44" t="s">
        <v>56</v>
      </c>
      <c r="C408" s="64">
        <v>-60.05</v>
      </c>
      <c r="D408" s="54"/>
      <c r="E408" s="54">
        <v>59306</v>
      </c>
      <c r="F408" s="55">
        <v>44095</v>
      </c>
      <c r="G408" s="51" t="s">
        <v>208</v>
      </c>
      <c r="H408" s="54"/>
    </row>
    <row r="409" spans="1:8">
      <c r="B409" s="44" t="s">
        <v>56</v>
      </c>
      <c r="C409" s="64">
        <v>-60.05</v>
      </c>
      <c r="D409" s="54"/>
      <c r="E409" s="54">
        <v>59306</v>
      </c>
      <c r="F409" s="55">
        <v>44095</v>
      </c>
      <c r="G409" s="51" t="s">
        <v>287</v>
      </c>
      <c r="H409" s="54"/>
    </row>
    <row r="410" spans="1:8">
      <c r="B410" s="44" t="s">
        <v>56</v>
      </c>
      <c r="C410" s="64">
        <v>-120.1</v>
      </c>
      <c r="D410" s="54"/>
      <c r="E410" s="54">
        <v>59306</v>
      </c>
      <c r="F410" s="55">
        <v>44095</v>
      </c>
      <c r="G410" s="51" t="s">
        <v>418</v>
      </c>
      <c r="H410" s="54"/>
    </row>
    <row r="411" spans="1:8">
      <c r="A411" s="8" t="s">
        <v>17</v>
      </c>
      <c r="B411" s="62" t="s">
        <v>22</v>
      </c>
      <c r="C411" s="64">
        <v>-7206.31</v>
      </c>
      <c r="D411" s="54"/>
      <c r="E411" s="54">
        <v>1482342</v>
      </c>
      <c r="F411" s="55">
        <v>44095</v>
      </c>
      <c r="G411" s="56" t="s">
        <v>538</v>
      </c>
      <c r="H411" s="54"/>
    </row>
    <row r="412" spans="1:8">
      <c r="A412" s="8" t="s">
        <v>17</v>
      </c>
      <c r="B412" s="62" t="s">
        <v>23</v>
      </c>
      <c r="C412" s="64">
        <v>-6127.17</v>
      </c>
      <c r="D412" s="54"/>
      <c r="E412" s="54">
        <v>1482342</v>
      </c>
      <c r="F412" s="55">
        <v>44095</v>
      </c>
      <c r="G412" s="56" t="s">
        <v>541</v>
      </c>
      <c r="H412" s="54"/>
    </row>
    <row r="413" spans="1:8">
      <c r="B413" s="44" t="s">
        <v>56</v>
      </c>
      <c r="C413" s="64">
        <v>-110.05</v>
      </c>
      <c r="D413" s="54"/>
      <c r="E413" s="54">
        <v>59306</v>
      </c>
      <c r="F413" s="55">
        <v>44095</v>
      </c>
      <c r="G413" s="51" t="s">
        <v>566</v>
      </c>
      <c r="H413" s="54"/>
    </row>
    <row r="414" spans="1:8">
      <c r="A414" s="8" t="s">
        <v>70</v>
      </c>
      <c r="B414" s="44" t="s">
        <v>6</v>
      </c>
      <c r="C414" s="64">
        <v>-44115.040000000001</v>
      </c>
      <c r="D414" s="54"/>
      <c r="E414" s="54">
        <v>3088069</v>
      </c>
      <c r="F414" s="55">
        <v>44088</v>
      </c>
      <c r="G414" s="56" t="s">
        <v>574</v>
      </c>
      <c r="H414" s="54"/>
    </row>
    <row r="415" spans="1:8">
      <c r="A415" s="8" t="s">
        <v>70</v>
      </c>
      <c r="B415" s="44" t="s">
        <v>7</v>
      </c>
      <c r="C415" s="64">
        <v>-25011.18</v>
      </c>
      <c r="D415" s="54"/>
      <c r="E415" s="54">
        <v>3088167</v>
      </c>
      <c r="F415" s="55">
        <v>44095</v>
      </c>
      <c r="G415" s="56" t="s">
        <v>577</v>
      </c>
      <c r="H415" s="54"/>
    </row>
    <row r="416" spans="1:8">
      <c r="A416" s="8" t="s">
        <v>70</v>
      </c>
      <c r="B416" s="44" t="s">
        <v>14</v>
      </c>
      <c r="C416" s="64">
        <v>-1444.53</v>
      </c>
      <c r="D416" s="54"/>
      <c r="E416" s="54">
        <v>3088167</v>
      </c>
      <c r="F416" s="55">
        <v>44095</v>
      </c>
      <c r="G416" s="56" t="s">
        <v>591</v>
      </c>
      <c r="H416" s="54"/>
    </row>
    <row r="417" spans="1:8">
      <c r="A417" s="8" t="s">
        <v>70</v>
      </c>
      <c r="B417" s="44" t="s">
        <v>10</v>
      </c>
      <c r="C417" s="64">
        <f>(12.25*110)*-1</f>
        <v>-1347.5</v>
      </c>
      <c r="D417" s="54"/>
      <c r="E417" s="57">
        <v>244661</v>
      </c>
      <c r="F417" s="55">
        <v>44095</v>
      </c>
      <c r="G417" s="57" t="s">
        <v>585</v>
      </c>
      <c r="H417" s="54"/>
    </row>
    <row r="418" spans="1:8">
      <c r="B418" s="44" t="s">
        <v>60</v>
      </c>
      <c r="C418" s="64">
        <v>-1284</v>
      </c>
      <c r="D418" s="54"/>
      <c r="E418" s="54">
        <v>424925</v>
      </c>
      <c r="F418" s="55">
        <v>44095</v>
      </c>
      <c r="G418" s="51" t="s">
        <v>634</v>
      </c>
      <c r="H418" s="54"/>
    </row>
    <row r="419" spans="1:8">
      <c r="A419" s="8" t="s">
        <v>70</v>
      </c>
      <c r="B419" s="44" t="s">
        <v>9</v>
      </c>
      <c r="C419" s="64">
        <f>(2.75*110)*-1</f>
        <v>-302.5</v>
      </c>
      <c r="D419" s="54"/>
      <c r="E419" s="54">
        <v>244716</v>
      </c>
      <c r="F419" s="55">
        <v>44096</v>
      </c>
      <c r="G419" s="57" t="s">
        <v>583</v>
      </c>
      <c r="H419" s="54"/>
    </row>
    <row r="420" spans="1:8">
      <c r="B420" s="44" t="s">
        <v>40</v>
      </c>
      <c r="C420" s="64">
        <v>-1862</v>
      </c>
      <c r="D420" s="54"/>
      <c r="E420" s="54">
        <v>16313</v>
      </c>
      <c r="F420" s="55">
        <v>44098</v>
      </c>
      <c r="G420" s="51" t="s">
        <v>621</v>
      </c>
      <c r="H420" s="54"/>
    </row>
    <row r="421" spans="1:8">
      <c r="B421" s="44" t="s">
        <v>131</v>
      </c>
      <c r="C421" s="64">
        <v>-24382.28</v>
      </c>
      <c r="D421" s="54" t="s">
        <v>866</v>
      </c>
      <c r="E421" s="54"/>
      <c r="F421" s="55">
        <v>44098</v>
      </c>
      <c r="G421" s="56" t="s">
        <v>624</v>
      </c>
      <c r="H421" s="54"/>
    </row>
    <row r="422" spans="1:8">
      <c r="B422" s="44" t="s">
        <v>37</v>
      </c>
      <c r="C422" s="64">
        <v>-50807.49</v>
      </c>
      <c r="D422" s="53" t="s">
        <v>866</v>
      </c>
      <c r="E422" s="54"/>
      <c r="F422" s="55">
        <v>44099</v>
      </c>
      <c r="G422" s="56" t="s">
        <v>616</v>
      </c>
      <c r="H422" s="54"/>
    </row>
    <row r="423" spans="1:8">
      <c r="B423" s="44" t="s">
        <v>37</v>
      </c>
      <c r="C423" s="64">
        <f>(71.75*150)*-1</f>
        <v>-10762.5</v>
      </c>
      <c r="D423" s="54" t="s">
        <v>866</v>
      </c>
      <c r="E423" s="54"/>
      <c r="F423" s="55">
        <v>44099</v>
      </c>
      <c r="G423" s="56" t="s">
        <v>617</v>
      </c>
      <c r="H423" s="54"/>
    </row>
    <row r="424" spans="1:8">
      <c r="B424" s="44" t="s">
        <v>62</v>
      </c>
      <c r="C424" s="64">
        <v>-170.1</v>
      </c>
      <c r="D424" s="54"/>
      <c r="E424" s="54">
        <v>306404</v>
      </c>
      <c r="F424" s="55">
        <v>44103</v>
      </c>
      <c r="G424" s="51" t="s">
        <v>291</v>
      </c>
      <c r="H424" s="54"/>
    </row>
    <row r="425" spans="1:8">
      <c r="B425" s="44" t="s">
        <v>62</v>
      </c>
      <c r="C425" s="64">
        <v>-180.15</v>
      </c>
      <c r="D425" s="54"/>
      <c r="E425" s="54">
        <v>306404</v>
      </c>
      <c r="F425" s="55">
        <v>44103</v>
      </c>
      <c r="G425" s="51" t="s">
        <v>144</v>
      </c>
      <c r="H425" s="54"/>
    </row>
    <row r="426" spans="1:8">
      <c r="B426" s="44" t="s">
        <v>62</v>
      </c>
      <c r="C426" s="64">
        <v>-120.1</v>
      </c>
      <c r="D426" s="54"/>
      <c r="E426" s="54">
        <v>306404</v>
      </c>
      <c r="F426" s="55">
        <v>44103</v>
      </c>
      <c r="G426" s="51" t="s">
        <v>213</v>
      </c>
      <c r="H426" s="54"/>
    </row>
    <row r="427" spans="1:8">
      <c r="B427" s="44" t="s">
        <v>62</v>
      </c>
      <c r="C427" s="64">
        <v>-60.05</v>
      </c>
      <c r="D427" s="54"/>
      <c r="E427" s="54">
        <v>306404</v>
      </c>
      <c r="F427" s="55">
        <v>44103</v>
      </c>
      <c r="G427" s="51" t="s">
        <v>424</v>
      </c>
      <c r="H427" s="54"/>
    </row>
    <row r="428" spans="1:8">
      <c r="B428" s="44" t="s">
        <v>62</v>
      </c>
      <c r="C428" s="64">
        <v>-30.35</v>
      </c>
      <c r="D428" s="54"/>
      <c r="E428" s="54">
        <v>306404</v>
      </c>
      <c r="F428" s="55">
        <v>44103</v>
      </c>
      <c r="G428" s="51" t="s">
        <v>505</v>
      </c>
      <c r="H428" s="54"/>
    </row>
    <row r="429" spans="1:8">
      <c r="B429" s="44" t="s">
        <v>62</v>
      </c>
      <c r="C429" s="64">
        <v>-110.05</v>
      </c>
      <c r="D429" s="54"/>
      <c r="E429" s="54">
        <v>306404</v>
      </c>
      <c r="F429" s="55">
        <v>44103</v>
      </c>
      <c r="G429" s="51" t="s">
        <v>572</v>
      </c>
      <c r="H429" s="54"/>
    </row>
    <row r="430" spans="1:8">
      <c r="A430" s="8" t="s">
        <v>70</v>
      </c>
      <c r="B430" s="44" t="s">
        <v>16</v>
      </c>
      <c r="C430" s="64">
        <v>-208.3</v>
      </c>
      <c r="D430" s="54"/>
      <c r="E430" s="54">
        <v>12947</v>
      </c>
      <c r="F430" s="55">
        <v>44103</v>
      </c>
      <c r="G430" s="56" t="s">
        <v>593</v>
      </c>
      <c r="H430" s="54"/>
    </row>
    <row r="431" spans="1:8">
      <c r="B431" s="44" t="s">
        <v>52</v>
      </c>
      <c r="C431" s="64">
        <v>-1070.45</v>
      </c>
      <c r="D431" s="54"/>
      <c r="E431" s="54">
        <v>33663189</v>
      </c>
      <c r="F431" s="55">
        <v>44103</v>
      </c>
      <c r="G431" s="51" t="s">
        <v>626</v>
      </c>
      <c r="H431" s="54"/>
    </row>
    <row r="432" spans="1:8">
      <c r="B432" s="44" t="s">
        <v>56</v>
      </c>
      <c r="C432" s="64">
        <v>-60.05</v>
      </c>
      <c r="D432" s="54"/>
      <c r="E432" s="54">
        <v>59445</v>
      </c>
      <c r="F432" s="55">
        <v>44103</v>
      </c>
      <c r="G432" s="51" t="s">
        <v>629</v>
      </c>
      <c r="H432" s="54"/>
    </row>
    <row r="433" spans="1:8">
      <c r="B433" s="44" t="s">
        <v>39</v>
      </c>
      <c r="C433" s="64">
        <v>-500</v>
      </c>
      <c r="D433" s="54"/>
      <c r="E433" s="54">
        <v>183946</v>
      </c>
      <c r="F433" s="55">
        <v>44104</v>
      </c>
      <c r="G433" s="56" t="s">
        <v>197</v>
      </c>
      <c r="H433" s="54"/>
    </row>
    <row r="434" spans="1:8">
      <c r="A434" s="8" t="s">
        <v>17</v>
      </c>
      <c r="B434" s="44" t="s">
        <v>25</v>
      </c>
      <c r="C434" s="64">
        <f>(1*125)*-1</f>
        <v>-125</v>
      </c>
      <c r="D434" s="54"/>
      <c r="E434" s="57">
        <v>1485435</v>
      </c>
      <c r="F434" s="55">
        <v>44104</v>
      </c>
      <c r="G434" s="56" t="s">
        <v>396</v>
      </c>
      <c r="H434" s="54"/>
    </row>
    <row r="435" spans="1:8">
      <c r="A435" s="8" t="s">
        <v>17</v>
      </c>
      <c r="B435" s="44" t="s">
        <v>24</v>
      </c>
      <c r="C435" s="64">
        <f>(2.5*125)*-1</f>
        <v>-312.5</v>
      </c>
      <c r="D435" s="54"/>
      <c r="E435" s="57">
        <v>1484987</v>
      </c>
      <c r="F435" s="55">
        <v>44104</v>
      </c>
      <c r="G435" s="56" t="s">
        <v>543</v>
      </c>
      <c r="H435" s="54"/>
    </row>
    <row r="436" spans="1:8">
      <c r="B436" s="44" t="s">
        <v>39</v>
      </c>
      <c r="C436" s="64">
        <v>-12035.82</v>
      </c>
      <c r="D436" s="54"/>
      <c r="E436" s="54">
        <v>183946</v>
      </c>
      <c r="F436" s="55">
        <v>44104</v>
      </c>
      <c r="G436" s="56" t="s">
        <v>618</v>
      </c>
      <c r="H436" s="54"/>
    </row>
    <row r="437" spans="1:8">
      <c r="B437" s="44" t="s">
        <v>41</v>
      </c>
      <c r="C437" s="64">
        <v>-2587.56</v>
      </c>
      <c r="D437" s="54"/>
      <c r="E437" s="54">
        <v>71235</v>
      </c>
      <c r="F437" s="55">
        <v>44104</v>
      </c>
      <c r="G437" s="56" t="s">
        <v>622</v>
      </c>
      <c r="H437" s="54"/>
    </row>
    <row r="438" spans="1:8">
      <c r="B438" s="44" t="s">
        <v>131</v>
      </c>
      <c r="C438" s="64">
        <v>-20833.330000000002</v>
      </c>
      <c r="D438" s="53" t="s">
        <v>866</v>
      </c>
      <c r="E438" s="54"/>
      <c r="F438" s="55">
        <v>44104</v>
      </c>
      <c r="G438" s="56" t="s">
        <v>624</v>
      </c>
      <c r="H438" s="54"/>
    </row>
    <row r="439" spans="1:8">
      <c r="B439" s="44" t="s">
        <v>41</v>
      </c>
      <c r="C439" s="64">
        <v>-500</v>
      </c>
      <c r="D439" s="54"/>
      <c r="E439" s="54">
        <v>71235</v>
      </c>
      <c r="F439" s="55">
        <v>44104</v>
      </c>
      <c r="G439" s="56" t="s">
        <v>623</v>
      </c>
      <c r="H439" s="54"/>
    </row>
    <row r="440" spans="1:8">
      <c r="A440" s="8" t="s">
        <v>17</v>
      </c>
      <c r="B440" s="62" t="s">
        <v>22</v>
      </c>
      <c r="C440" s="64">
        <f>(244.25*125)*-1</f>
        <v>-30531.25</v>
      </c>
      <c r="D440" s="54"/>
      <c r="E440" s="57">
        <v>1484987</v>
      </c>
      <c r="F440" s="55">
        <v>44104</v>
      </c>
      <c r="G440" s="56" t="s">
        <v>605</v>
      </c>
      <c r="H440" s="54"/>
    </row>
    <row r="441" spans="1:8">
      <c r="B441" s="34" t="s">
        <v>140</v>
      </c>
      <c r="C441" s="64">
        <v>-70</v>
      </c>
      <c r="D441" s="54" t="s">
        <v>866</v>
      </c>
      <c r="E441" s="57"/>
      <c r="F441" s="55">
        <v>44104</v>
      </c>
      <c r="G441" s="51" t="s">
        <v>630</v>
      </c>
      <c r="H441" s="54"/>
    </row>
    <row r="442" spans="1:8">
      <c r="A442" s="8" t="s">
        <v>70</v>
      </c>
      <c r="B442" s="44" t="s">
        <v>12</v>
      </c>
      <c r="C442" s="64">
        <f>(2.25*110)*-1</f>
        <v>-247.5</v>
      </c>
      <c r="D442" s="54"/>
      <c r="E442" s="54">
        <v>245619</v>
      </c>
      <c r="F442" s="55">
        <v>44106</v>
      </c>
      <c r="G442" s="56" t="s">
        <v>589</v>
      </c>
      <c r="H442" s="54"/>
    </row>
    <row r="443" spans="1:8">
      <c r="A443" s="8" t="s">
        <v>70</v>
      </c>
      <c r="B443" s="44" t="s">
        <v>13</v>
      </c>
      <c r="C443" s="64">
        <v>-100</v>
      </c>
      <c r="D443" s="54"/>
      <c r="E443" s="54">
        <v>245619</v>
      </c>
      <c r="F443" s="55">
        <v>44106</v>
      </c>
      <c r="G443" s="51" t="s">
        <v>590</v>
      </c>
      <c r="H443" s="54"/>
    </row>
    <row r="444" spans="1:8">
      <c r="B444" s="44" t="s">
        <v>32</v>
      </c>
      <c r="C444" s="64">
        <v>-70.760000000000005</v>
      </c>
      <c r="D444" s="54"/>
      <c r="E444" s="54">
        <v>16280</v>
      </c>
      <c r="F444" s="55">
        <v>44109</v>
      </c>
      <c r="G444" s="56" t="s">
        <v>335</v>
      </c>
      <c r="H444" s="54"/>
    </row>
    <row r="445" spans="1:8">
      <c r="B445" s="44" t="s">
        <v>31</v>
      </c>
      <c r="C445" s="64">
        <v>-3594.56</v>
      </c>
      <c r="D445" s="54"/>
      <c r="E445" s="54">
        <v>1773975</v>
      </c>
      <c r="F445" s="55">
        <v>44109</v>
      </c>
      <c r="G445" s="56" t="s">
        <v>189</v>
      </c>
      <c r="H445" s="54"/>
    </row>
    <row r="446" spans="1:8">
      <c r="A446" s="8" t="s">
        <v>17</v>
      </c>
      <c r="B446" s="62" t="s">
        <v>22</v>
      </c>
      <c r="C446" s="64">
        <v>-7593.19</v>
      </c>
      <c r="D446" s="54"/>
      <c r="E446" s="54">
        <v>1486470</v>
      </c>
      <c r="F446" s="55">
        <v>44109</v>
      </c>
      <c r="G446" s="56" t="s">
        <v>604</v>
      </c>
      <c r="H446" s="54"/>
    </row>
    <row r="447" spans="1:8">
      <c r="A447" s="8" t="s">
        <v>17</v>
      </c>
      <c r="B447" s="62" t="s">
        <v>23</v>
      </c>
      <c r="C447" s="64">
        <v>-6392.16</v>
      </c>
      <c r="D447" s="54"/>
      <c r="E447" s="54">
        <v>1486470</v>
      </c>
      <c r="F447" s="55">
        <v>44109</v>
      </c>
      <c r="G447" s="56" t="s">
        <v>607</v>
      </c>
      <c r="H447" s="54"/>
    </row>
    <row r="448" spans="1:8">
      <c r="B448" s="44" t="s">
        <v>31</v>
      </c>
      <c r="C448" s="64">
        <v>-3326.96</v>
      </c>
      <c r="D448" s="54"/>
      <c r="E448" s="54">
        <v>1773975</v>
      </c>
      <c r="F448" s="55">
        <v>44109</v>
      </c>
      <c r="G448" s="56" t="s">
        <v>611</v>
      </c>
      <c r="H448" s="54"/>
    </row>
    <row r="449" spans="1:8">
      <c r="B449" s="44" t="s">
        <v>32</v>
      </c>
      <c r="C449" s="64">
        <v>-2724.28</v>
      </c>
      <c r="D449" s="54"/>
      <c r="E449" s="54">
        <v>16280</v>
      </c>
      <c r="F449" s="55">
        <v>44109</v>
      </c>
      <c r="G449" s="56" t="s">
        <v>613</v>
      </c>
      <c r="H449" s="54"/>
    </row>
    <row r="450" spans="1:8">
      <c r="B450" s="44" t="s">
        <v>31</v>
      </c>
      <c r="C450" s="64">
        <f>(1.5*110)*-1</f>
        <v>-165</v>
      </c>
      <c r="D450" s="54"/>
      <c r="E450" s="54">
        <v>1773975</v>
      </c>
      <c r="F450" s="55">
        <v>44109</v>
      </c>
      <c r="G450" s="56" t="s">
        <v>612</v>
      </c>
      <c r="H450" s="54"/>
    </row>
    <row r="451" spans="1:8">
      <c r="A451" s="8" t="s">
        <v>17</v>
      </c>
      <c r="B451" s="44" t="s">
        <v>24</v>
      </c>
      <c r="C451" s="64">
        <f>(1*125)*-1</f>
        <v>-125</v>
      </c>
      <c r="D451" s="54"/>
      <c r="E451" s="57">
        <v>1486470</v>
      </c>
      <c r="F451" s="55">
        <v>44109</v>
      </c>
      <c r="G451" s="56" t="s">
        <v>609</v>
      </c>
      <c r="H451" s="54"/>
    </row>
    <row r="452" spans="1:8">
      <c r="A452" s="8" t="s">
        <v>70</v>
      </c>
      <c r="B452" s="44" t="s">
        <v>6</v>
      </c>
      <c r="C452" s="64">
        <v>-38007.910000000003</v>
      </c>
      <c r="D452" s="54"/>
      <c r="E452" s="54">
        <v>3088167</v>
      </c>
      <c r="F452" s="55">
        <v>44095</v>
      </c>
      <c r="G452" s="56" t="s">
        <v>574</v>
      </c>
      <c r="H452" s="54"/>
    </row>
    <row r="453" spans="1:8">
      <c r="A453" s="8" t="s">
        <v>70</v>
      </c>
      <c r="B453" s="44" t="s">
        <v>7</v>
      </c>
      <c r="C453" s="64">
        <v>-24214.48</v>
      </c>
      <c r="D453" s="54"/>
      <c r="E453" s="54">
        <v>3088349</v>
      </c>
      <c r="F453" s="55">
        <v>44109</v>
      </c>
      <c r="G453" s="56" t="s">
        <v>640</v>
      </c>
      <c r="H453" s="54"/>
    </row>
    <row r="454" spans="1:8">
      <c r="B454" s="44" t="s">
        <v>36</v>
      </c>
      <c r="C454" s="64">
        <v>-9160.92</v>
      </c>
      <c r="D454" s="54" t="s">
        <v>866</v>
      </c>
      <c r="E454" s="54"/>
      <c r="F454" s="55">
        <v>44112</v>
      </c>
      <c r="G454" s="56" t="s">
        <v>691</v>
      </c>
      <c r="H454" s="54"/>
    </row>
    <row r="455" spans="1:8">
      <c r="A455" s="8" t="s">
        <v>17</v>
      </c>
      <c r="B455" s="44" t="s">
        <v>25</v>
      </c>
      <c r="C455" s="64">
        <f>(125*1)*-1</f>
        <v>-125</v>
      </c>
      <c r="D455" s="54"/>
      <c r="E455" s="57">
        <v>1487341</v>
      </c>
      <c r="F455" s="55">
        <v>44113</v>
      </c>
      <c r="G455" s="56" t="s">
        <v>610</v>
      </c>
      <c r="H455" s="54"/>
    </row>
    <row r="456" spans="1:8">
      <c r="B456" s="44" t="s">
        <v>39</v>
      </c>
      <c r="C456" s="64">
        <v>-500</v>
      </c>
      <c r="D456" s="54"/>
      <c r="E456" s="57">
        <v>184244</v>
      </c>
      <c r="F456" s="55">
        <v>44117</v>
      </c>
      <c r="G456" s="56" t="s">
        <v>620</v>
      </c>
      <c r="H456" s="54"/>
    </row>
    <row r="457" spans="1:8">
      <c r="B457" s="44" t="s">
        <v>631</v>
      </c>
      <c r="C457" s="64">
        <v>-92.28</v>
      </c>
      <c r="D457" s="54"/>
      <c r="E457" s="54">
        <v>971844</v>
      </c>
      <c r="F457" s="55">
        <v>44117</v>
      </c>
      <c r="G457" s="51" t="s">
        <v>632</v>
      </c>
      <c r="H457" s="54"/>
    </row>
    <row r="458" spans="1:8">
      <c r="B458" s="44" t="s">
        <v>54</v>
      </c>
      <c r="C458" s="64">
        <v>-179.5</v>
      </c>
      <c r="D458" s="54"/>
      <c r="E458" s="54">
        <v>1888</v>
      </c>
      <c r="F458" s="55">
        <v>44117</v>
      </c>
      <c r="G458" s="51" t="s">
        <v>712</v>
      </c>
      <c r="H458" s="54"/>
    </row>
    <row r="459" spans="1:8">
      <c r="B459" s="44" t="s">
        <v>37</v>
      </c>
      <c r="C459" s="64">
        <v>-45917.23</v>
      </c>
      <c r="D459" s="53" t="s">
        <v>866</v>
      </c>
      <c r="E459" s="54"/>
      <c r="F459" s="55">
        <v>44119</v>
      </c>
      <c r="G459" s="56" t="s">
        <v>693</v>
      </c>
      <c r="H459" s="54"/>
    </row>
    <row r="460" spans="1:8">
      <c r="A460" s="8" t="s">
        <v>70</v>
      </c>
      <c r="B460" s="44" t="s">
        <v>7</v>
      </c>
      <c r="C460" s="64">
        <f>(121.25*110)*-1</f>
        <v>-13337.5</v>
      </c>
      <c r="D460" s="53"/>
      <c r="E460" s="54">
        <v>246482</v>
      </c>
      <c r="F460" s="55">
        <v>44119</v>
      </c>
      <c r="G460" s="56" t="s">
        <v>641</v>
      </c>
      <c r="H460" s="54"/>
    </row>
    <row r="461" spans="1:8">
      <c r="A461" s="8" t="s">
        <v>17</v>
      </c>
      <c r="B461" s="44" t="s">
        <v>18</v>
      </c>
      <c r="C461" s="64">
        <v>-38217.300000000003</v>
      </c>
      <c r="D461" s="54"/>
      <c r="E461" s="54">
        <v>1487613</v>
      </c>
      <c r="F461" s="55">
        <v>44120</v>
      </c>
      <c r="G461" s="56" t="s">
        <v>379</v>
      </c>
      <c r="H461" s="54"/>
    </row>
    <row r="462" spans="1:8">
      <c r="A462" s="8" t="s">
        <v>17</v>
      </c>
      <c r="B462" s="44" t="s">
        <v>18</v>
      </c>
      <c r="C462" s="64">
        <v>-56777.18</v>
      </c>
      <c r="D462" s="54"/>
      <c r="E462" s="54">
        <v>1487613</v>
      </c>
      <c r="F462" s="55">
        <v>44120</v>
      </c>
      <c r="G462" s="56" t="s">
        <v>530</v>
      </c>
      <c r="H462" s="54"/>
    </row>
    <row r="463" spans="1:8">
      <c r="A463" s="8" t="s">
        <v>17</v>
      </c>
      <c r="B463" s="44" t="s">
        <v>19</v>
      </c>
      <c r="C463" s="64">
        <v>-56488.37</v>
      </c>
      <c r="D463" s="54"/>
      <c r="E463" s="54">
        <v>1487613</v>
      </c>
      <c r="F463" s="55">
        <v>44120</v>
      </c>
      <c r="G463" s="56" t="s">
        <v>533</v>
      </c>
      <c r="H463" s="54"/>
    </row>
    <row r="464" spans="1:8">
      <c r="B464" s="44" t="s">
        <v>32</v>
      </c>
      <c r="C464" s="64">
        <v>-3031.27</v>
      </c>
      <c r="D464" s="54"/>
      <c r="E464" s="54">
        <v>16606</v>
      </c>
      <c r="F464" s="55">
        <v>44120</v>
      </c>
      <c r="G464" s="56" t="s">
        <v>549</v>
      </c>
      <c r="H464" s="54"/>
    </row>
    <row r="465" spans="1:8">
      <c r="A465" s="8" t="s">
        <v>17</v>
      </c>
      <c r="B465" s="44" t="s">
        <v>18</v>
      </c>
      <c r="C465" s="64">
        <v>-54478.23</v>
      </c>
      <c r="D465" s="54"/>
      <c r="E465" s="54">
        <v>1487613</v>
      </c>
      <c r="F465" s="55">
        <v>44120</v>
      </c>
      <c r="G465" s="56" t="s">
        <v>594</v>
      </c>
      <c r="H465" s="54"/>
    </row>
    <row r="466" spans="1:8">
      <c r="B466" s="44" t="s">
        <v>32</v>
      </c>
      <c r="C466" s="64">
        <v>-2103.88</v>
      </c>
      <c r="D466" s="54"/>
      <c r="E466" s="54">
        <v>16606</v>
      </c>
      <c r="F466" s="55">
        <v>44120</v>
      </c>
      <c r="G466" s="56" t="s">
        <v>685</v>
      </c>
      <c r="H466" s="54"/>
    </row>
    <row r="467" spans="1:8">
      <c r="B467" s="44" t="s">
        <v>32</v>
      </c>
      <c r="C467" s="64">
        <v>-1332</v>
      </c>
      <c r="D467" s="54"/>
      <c r="E467" s="54">
        <v>16458</v>
      </c>
      <c r="F467" s="55">
        <v>44120</v>
      </c>
      <c r="G467" s="56" t="s">
        <v>685</v>
      </c>
      <c r="H467" s="54"/>
    </row>
    <row r="468" spans="1:8">
      <c r="B468" s="44" t="s">
        <v>34</v>
      </c>
      <c r="C468" s="64">
        <f>((12.25*200)+(3242*2))*-1</f>
        <v>-8934</v>
      </c>
      <c r="D468" s="54"/>
      <c r="E468" s="54">
        <v>123345</v>
      </c>
      <c r="F468" s="55">
        <v>44120</v>
      </c>
      <c r="G468" s="51" t="s">
        <v>687</v>
      </c>
      <c r="H468" s="54"/>
    </row>
    <row r="469" spans="1:8">
      <c r="B469" s="44" t="s">
        <v>63</v>
      </c>
      <c r="C469" s="64">
        <v>-595</v>
      </c>
      <c r="D469" s="54"/>
      <c r="E469" s="54">
        <v>2695</v>
      </c>
      <c r="F469" s="55">
        <v>44120</v>
      </c>
      <c r="G469" s="51" t="s">
        <v>718</v>
      </c>
      <c r="H469" s="54"/>
    </row>
    <row r="470" spans="1:8">
      <c r="A470" s="8" t="s">
        <v>70</v>
      </c>
      <c r="B470" s="44" t="s">
        <v>7</v>
      </c>
      <c r="C470" s="64">
        <f>(99*110)*-1</f>
        <v>-10890</v>
      </c>
      <c r="D470" s="54"/>
      <c r="E470" s="54">
        <v>246596</v>
      </c>
      <c r="F470" s="55">
        <v>44123</v>
      </c>
      <c r="G470" s="56" t="s">
        <v>219</v>
      </c>
      <c r="H470" s="54"/>
    </row>
    <row r="471" spans="1:8">
      <c r="A471" s="8" t="s">
        <v>70</v>
      </c>
      <c r="B471" s="44" t="s">
        <v>11</v>
      </c>
      <c r="C471" s="64">
        <f>(9.5*110)*-1</f>
        <v>-1045</v>
      </c>
      <c r="D471" s="54"/>
      <c r="E471" s="54">
        <v>246596</v>
      </c>
      <c r="F471" s="55">
        <v>44123</v>
      </c>
      <c r="G471" s="56" t="s">
        <v>228</v>
      </c>
      <c r="H471" s="54"/>
    </row>
    <row r="472" spans="1:8">
      <c r="A472" s="8" t="s">
        <v>70</v>
      </c>
      <c r="B472" s="44" t="s">
        <v>7</v>
      </c>
      <c r="C472" s="64">
        <f>(94.25*110)*-1</f>
        <v>-10367.5</v>
      </c>
      <c r="D472" s="54"/>
      <c r="E472" s="54">
        <v>246596</v>
      </c>
      <c r="F472" s="55">
        <v>44123</v>
      </c>
      <c r="G472" s="56" t="s">
        <v>297</v>
      </c>
      <c r="H472" s="54"/>
    </row>
    <row r="473" spans="1:8">
      <c r="A473" s="8" t="s">
        <v>70</v>
      </c>
      <c r="B473" s="44" t="s">
        <v>7</v>
      </c>
      <c r="C473" s="64">
        <f>(91.5*110)*-1</f>
        <v>-10065</v>
      </c>
      <c r="D473" s="54"/>
      <c r="E473" s="54">
        <v>246596</v>
      </c>
      <c r="F473" s="55">
        <v>44123</v>
      </c>
      <c r="G473" s="56" t="s">
        <v>511</v>
      </c>
      <c r="H473" s="54"/>
    </row>
    <row r="474" spans="1:8">
      <c r="A474" s="8" t="s">
        <v>70</v>
      </c>
      <c r="B474" s="44" t="s">
        <v>6</v>
      </c>
      <c r="C474" s="64">
        <f>(136.75*110)*-1</f>
        <v>-15042.5</v>
      </c>
      <c r="D474" s="54"/>
      <c r="E474" s="54">
        <v>246596</v>
      </c>
      <c r="F474" s="55">
        <v>44123</v>
      </c>
      <c r="G474" s="56" t="s">
        <v>638</v>
      </c>
      <c r="H474" s="54"/>
    </row>
    <row r="475" spans="1:8">
      <c r="A475" s="8" t="s">
        <v>70</v>
      </c>
      <c r="B475" s="44" t="s">
        <v>7</v>
      </c>
      <c r="C475" s="64">
        <v>-19880.52</v>
      </c>
      <c r="D475" s="54"/>
      <c r="E475" s="54">
        <v>3088514</v>
      </c>
      <c r="F475" s="55">
        <v>44123</v>
      </c>
      <c r="G475" s="56" t="s">
        <v>642</v>
      </c>
      <c r="H475" s="54"/>
    </row>
    <row r="476" spans="1:8">
      <c r="A476" s="8" t="s">
        <v>70</v>
      </c>
      <c r="B476" s="44" t="s">
        <v>11</v>
      </c>
      <c r="C476" s="64">
        <v>-6480.66</v>
      </c>
      <c r="D476" s="54"/>
      <c r="E476" s="54">
        <v>3088514</v>
      </c>
      <c r="F476" s="55">
        <v>44123</v>
      </c>
      <c r="G476" s="56" t="s">
        <v>649</v>
      </c>
      <c r="H476" s="54"/>
    </row>
    <row r="477" spans="1:8">
      <c r="A477" s="8" t="s">
        <v>70</v>
      </c>
      <c r="B477" s="44" t="s">
        <v>6</v>
      </c>
      <c r="C477" s="64">
        <v>-32053.87</v>
      </c>
      <c r="D477" s="54"/>
      <c r="E477" s="54">
        <v>3088349</v>
      </c>
      <c r="F477" s="55">
        <v>44109</v>
      </c>
      <c r="G477" s="56" t="s">
        <v>636</v>
      </c>
      <c r="H477" s="54"/>
    </row>
    <row r="478" spans="1:8">
      <c r="A478" s="8" t="s">
        <v>70</v>
      </c>
      <c r="B478" s="44" t="s">
        <v>11</v>
      </c>
      <c r="C478" s="64">
        <f>(9.25*110)*-1</f>
        <v>-1017.5</v>
      </c>
      <c r="D478" s="54"/>
      <c r="E478" s="54">
        <v>246596</v>
      </c>
      <c r="F478" s="55">
        <v>44123</v>
      </c>
      <c r="G478" s="56" t="s">
        <v>650</v>
      </c>
      <c r="H478" s="54"/>
    </row>
    <row r="479" spans="1:8">
      <c r="A479" s="8" t="s">
        <v>70</v>
      </c>
      <c r="B479" s="44" t="s">
        <v>10</v>
      </c>
      <c r="C479" s="64">
        <f>(10.25*110)*-1</f>
        <v>-1127.5</v>
      </c>
      <c r="D479" s="54"/>
      <c r="E479" s="54">
        <v>246596</v>
      </c>
      <c r="F479" s="55">
        <v>44123</v>
      </c>
      <c r="G479" s="57" t="s">
        <v>648</v>
      </c>
      <c r="H479" s="54"/>
    </row>
    <row r="480" spans="1:8">
      <c r="A480" s="8" t="s">
        <v>70</v>
      </c>
      <c r="B480" s="44" t="s">
        <v>14</v>
      </c>
      <c r="C480" s="64">
        <f>(3*110)*-1</f>
        <v>-330</v>
      </c>
      <c r="D480" s="54"/>
      <c r="E480" s="54">
        <v>246597</v>
      </c>
      <c r="F480" s="55">
        <v>44123</v>
      </c>
      <c r="G480" s="56" t="s">
        <v>654</v>
      </c>
      <c r="H480" s="54"/>
    </row>
    <row r="481" spans="1:8">
      <c r="A481" s="8" t="s">
        <v>70</v>
      </c>
      <c r="B481" s="44" t="s">
        <v>15</v>
      </c>
      <c r="C481" s="64">
        <f>(5*110)*-1</f>
        <v>-550</v>
      </c>
      <c r="D481" s="54"/>
      <c r="E481" s="54">
        <v>246596</v>
      </c>
      <c r="F481" s="55">
        <v>44123</v>
      </c>
      <c r="G481" s="55" t="s">
        <v>872</v>
      </c>
      <c r="H481" s="54"/>
    </row>
    <row r="482" spans="1:8">
      <c r="B482" s="44" t="s">
        <v>52</v>
      </c>
      <c r="C482" s="64">
        <v>-780.4</v>
      </c>
      <c r="D482" s="54"/>
      <c r="E482" s="54">
        <v>33664101</v>
      </c>
      <c r="F482" s="55">
        <v>44123</v>
      </c>
      <c r="G482" s="51" t="s">
        <v>710</v>
      </c>
      <c r="H482" s="54"/>
    </row>
    <row r="483" spans="1:8">
      <c r="B483" s="44" t="s">
        <v>53</v>
      </c>
      <c r="C483" s="64">
        <v>-1155</v>
      </c>
      <c r="D483" s="54"/>
      <c r="E483" s="54">
        <v>2457</v>
      </c>
      <c r="F483" s="55">
        <v>44123</v>
      </c>
      <c r="G483" s="51" t="s">
        <v>711</v>
      </c>
      <c r="H483" s="54"/>
    </row>
    <row r="484" spans="1:8">
      <c r="B484" s="44" t="s">
        <v>36</v>
      </c>
      <c r="C484" s="64">
        <v>-15475.4</v>
      </c>
      <c r="D484" s="54" t="s">
        <v>866</v>
      </c>
      <c r="E484" s="54"/>
      <c r="F484" s="55">
        <v>44124</v>
      </c>
      <c r="G484" s="56" t="s">
        <v>692</v>
      </c>
      <c r="H484" s="54"/>
    </row>
    <row r="485" spans="1:8">
      <c r="A485" s="8" t="s">
        <v>70</v>
      </c>
      <c r="B485" s="44" t="s">
        <v>9</v>
      </c>
      <c r="C485" s="64">
        <f>(2.75*110)*-1</f>
        <v>-302.5</v>
      </c>
      <c r="D485" s="54"/>
      <c r="E485" s="54">
        <v>246639</v>
      </c>
      <c r="F485" s="55">
        <v>44124</v>
      </c>
      <c r="G485" s="57" t="s">
        <v>646</v>
      </c>
      <c r="H485" s="54"/>
    </row>
    <row r="486" spans="1:8">
      <c r="B486" s="44" t="s">
        <v>37</v>
      </c>
      <c r="C486" s="64">
        <f>(70.5*150)*-1</f>
        <v>-10575</v>
      </c>
      <c r="D486" s="53" t="s">
        <v>866</v>
      </c>
      <c r="E486" s="54"/>
      <c r="F486" s="55">
        <v>44125</v>
      </c>
      <c r="G486" s="56" t="s">
        <v>694</v>
      </c>
      <c r="H486" s="54"/>
    </row>
    <row r="487" spans="1:8">
      <c r="A487" s="8" t="s">
        <v>70</v>
      </c>
      <c r="B487" s="44" t="s">
        <v>11</v>
      </c>
      <c r="C487" s="64">
        <f>(8.75*110)*-1</f>
        <v>-962.5</v>
      </c>
      <c r="D487" s="54"/>
      <c r="E487" s="54">
        <v>247336</v>
      </c>
      <c r="F487" s="55">
        <v>44126</v>
      </c>
      <c r="G487" s="56" t="s">
        <v>306</v>
      </c>
      <c r="H487" s="54"/>
    </row>
    <row r="488" spans="1:8">
      <c r="A488" s="8" t="s">
        <v>70</v>
      </c>
      <c r="B488" s="44" t="s">
        <v>8</v>
      </c>
      <c r="C488" s="64">
        <f>(27.75*110)*-1</f>
        <v>-3052.5</v>
      </c>
      <c r="D488" s="54"/>
      <c r="E488" s="54">
        <v>247336</v>
      </c>
      <c r="F488" s="55">
        <v>44126</v>
      </c>
      <c r="G488" s="57" t="s">
        <v>644</v>
      </c>
      <c r="H488" s="54"/>
    </row>
    <row r="489" spans="1:8">
      <c r="A489" s="8" t="s">
        <v>17</v>
      </c>
      <c r="B489" s="44" t="s">
        <v>18</v>
      </c>
      <c r="C489" s="64">
        <v>-35420.400000000001</v>
      </c>
      <c r="D489" s="54"/>
      <c r="E489" s="54">
        <v>1489463</v>
      </c>
      <c r="F489" s="55">
        <v>44127</v>
      </c>
      <c r="G489" s="56" t="s">
        <v>454</v>
      </c>
      <c r="H489" s="54"/>
    </row>
    <row r="490" spans="1:8">
      <c r="B490" s="44" t="s">
        <v>28</v>
      </c>
      <c r="C490" s="64">
        <f>(1*200)*-1</f>
        <v>-200</v>
      </c>
      <c r="D490" s="54"/>
      <c r="E490" s="57">
        <v>1489463</v>
      </c>
      <c r="F490" s="55">
        <v>44127</v>
      </c>
      <c r="G490" s="51" t="s">
        <v>679</v>
      </c>
      <c r="H490" s="54"/>
    </row>
    <row r="491" spans="1:8">
      <c r="B491" s="44" t="s">
        <v>29</v>
      </c>
      <c r="C491" s="64">
        <f>(1*200)*-1</f>
        <v>-200</v>
      </c>
      <c r="D491" s="54"/>
      <c r="E491" s="57">
        <v>1489463</v>
      </c>
      <c r="F491" s="55">
        <v>44127</v>
      </c>
      <c r="G491" s="51" t="s">
        <v>680</v>
      </c>
      <c r="H491" s="54"/>
    </row>
    <row r="492" spans="1:8">
      <c r="B492" s="44" t="s">
        <v>30</v>
      </c>
      <c r="C492" s="64">
        <f>(1*200)*-1</f>
        <v>-200</v>
      </c>
      <c r="D492" s="54"/>
      <c r="E492" s="57">
        <v>1489463</v>
      </c>
      <c r="F492" s="55">
        <v>44127</v>
      </c>
      <c r="G492" s="51" t="s">
        <v>681</v>
      </c>
      <c r="H492" s="54"/>
    </row>
    <row r="493" spans="1:8">
      <c r="B493" s="44" t="s">
        <v>59</v>
      </c>
      <c r="C493" s="64">
        <v>-675.4</v>
      </c>
      <c r="D493" s="54"/>
      <c r="E493" s="54">
        <v>742218</v>
      </c>
      <c r="F493" s="55">
        <v>44127</v>
      </c>
      <c r="G493" s="51" t="s">
        <v>715</v>
      </c>
      <c r="H493" s="54"/>
    </row>
    <row r="494" spans="1:8">
      <c r="B494" s="44" t="s">
        <v>62</v>
      </c>
      <c r="C494" s="64">
        <v>-120.1</v>
      </c>
      <c r="D494" s="54"/>
      <c r="E494" s="54">
        <v>59762</v>
      </c>
      <c r="F494" s="55">
        <v>44128</v>
      </c>
      <c r="G494" s="51" t="s">
        <v>356</v>
      </c>
      <c r="H494" s="54"/>
    </row>
    <row r="495" spans="1:8">
      <c r="A495" s="8" t="s">
        <v>70</v>
      </c>
      <c r="B495" s="44" t="s">
        <v>13</v>
      </c>
      <c r="C495" s="64">
        <v>-100</v>
      </c>
      <c r="D495" s="56"/>
      <c r="E495" s="56">
        <v>247380</v>
      </c>
      <c r="F495" s="55">
        <v>44130</v>
      </c>
      <c r="G495" s="51" t="s">
        <v>162</v>
      </c>
      <c r="H495" s="54"/>
    </row>
    <row r="496" spans="1:8">
      <c r="A496" s="8" t="s">
        <v>70</v>
      </c>
      <c r="B496" s="44" t="s">
        <v>12</v>
      </c>
      <c r="C496" s="64">
        <f>(9*110)*-1</f>
        <v>-990</v>
      </c>
      <c r="D496" s="56"/>
      <c r="E496" s="54">
        <v>247380</v>
      </c>
      <c r="F496" s="55">
        <v>44130</v>
      </c>
      <c r="G496" s="56" t="s">
        <v>652</v>
      </c>
      <c r="H496" s="54"/>
    </row>
    <row r="497" spans="1:8">
      <c r="A497" s="8" t="s">
        <v>70</v>
      </c>
      <c r="B497" s="44" t="s">
        <v>13</v>
      </c>
      <c r="C497" s="64">
        <v>-100</v>
      </c>
      <c r="D497" s="56"/>
      <c r="E497" s="54">
        <v>247380</v>
      </c>
      <c r="F497" s="55">
        <v>44130</v>
      </c>
      <c r="G497" s="51" t="s">
        <v>653</v>
      </c>
      <c r="H497" s="54"/>
    </row>
    <row r="498" spans="1:8">
      <c r="A498" s="8" t="s">
        <v>70</v>
      </c>
      <c r="B498" s="44" t="s">
        <v>12</v>
      </c>
      <c r="C498" s="64">
        <v>-926.75</v>
      </c>
      <c r="D498" s="56"/>
      <c r="E498" s="54">
        <v>3088612</v>
      </c>
      <c r="F498" s="55">
        <v>44131</v>
      </c>
      <c r="G498" s="56" t="s">
        <v>588</v>
      </c>
      <c r="H498" s="54"/>
    </row>
    <row r="499" spans="1:8">
      <c r="A499" s="8" t="s">
        <v>17</v>
      </c>
      <c r="B499" s="35" t="s">
        <v>21</v>
      </c>
      <c r="C499" s="64">
        <f>(49.25*125)*-1</f>
        <v>-6156.25</v>
      </c>
      <c r="D499" s="56"/>
      <c r="E499" s="54">
        <v>1490272</v>
      </c>
      <c r="F499" s="55">
        <v>44131</v>
      </c>
      <c r="G499" s="56" t="s">
        <v>602</v>
      </c>
      <c r="H499" s="54"/>
    </row>
    <row r="500" spans="1:8">
      <c r="A500" s="8" t="s">
        <v>70</v>
      </c>
      <c r="B500" s="44" t="s">
        <v>8</v>
      </c>
      <c r="C500" s="64">
        <v>-9571.6299999999992</v>
      </c>
      <c r="D500" s="56"/>
      <c r="E500" s="54">
        <v>3088612</v>
      </c>
      <c r="F500" s="55">
        <v>44131</v>
      </c>
      <c r="G500" s="57" t="s">
        <v>643</v>
      </c>
      <c r="H500" s="54"/>
    </row>
    <row r="501" spans="1:8">
      <c r="A501" s="8" t="s">
        <v>70</v>
      </c>
      <c r="B501" s="44" t="s">
        <v>10</v>
      </c>
      <c r="C501" s="64">
        <v>-712.76</v>
      </c>
      <c r="D501" s="56"/>
      <c r="E501" s="54">
        <v>3088612</v>
      </c>
      <c r="F501" s="55">
        <v>44131</v>
      </c>
      <c r="G501" s="57" t="s">
        <v>647</v>
      </c>
      <c r="H501" s="54"/>
    </row>
    <row r="502" spans="1:8">
      <c r="A502" s="8" t="s">
        <v>70</v>
      </c>
      <c r="B502" s="44" t="s">
        <v>12</v>
      </c>
      <c r="C502" s="64">
        <v>-1175.72</v>
      </c>
      <c r="D502" s="56"/>
      <c r="E502" s="54">
        <v>3088612</v>
      </c>
      <c r="F502" s="55">
        <v>44131</v>
      </c>
      <c r="G502" s="56" t="s">
        <v>651</v>
      </c>
      <c r="H502" s="54"/>
    </row>
    <row r="503" spans="1:8">
      <c r="A503" s="8" t="s">
        <v>70</v>
      </c>
      <c r="B503" s="44" t="s">
        <v>16</v>
      </c>
      <c r="C503" s="64">
        <v>-804.42</v>
      </c>
      <c r="D503" s="56"/>
      <c r="E503" s="54">
        <v>13168</v>
      </c>
      <c r="F503" s="55">
        <v>44131</v>
      </c>
      <c r="G503" s="56" t="s">
        <v>658</v>
      </c>
      <c r="H503" s="54"/>
    </row>
    <row r="504" spans="1:8">
      <c r="A504" s="8" t="s">
        <v>17</v>
      </c>
      <c r="B504" s="35" t="s">
        <v>21</v>
      </c>
      <c r="C504" s="64">
        <f>(47.5*125)*-1</f>
        <v>-5937.5</v>
      </c>
      <c r="D504" s="56"/>
      <c r="E504" s="54">
        <v>1490272</v>
      </c>
      <c r="F504" s="55">
        <v>44131</v>
      </c>
      <c r="G504" s="56" t="s">
        <v>669</v>
      </c>
      <c r="H504" s="54"/>
    </row>
    <row r="505" spans="1:8">
      <c r="A505" s="8" t="s">
        <v>17</v>
      </c>
      <c r="B505" s="62" t="s">
        <v>22</v>
      </c>
      <c r="C505" s="64">
        <f>(304.75*125)*-1</f>
        <v>-38093.75</v>
      </c>
      <c r="D505" s="56"/>
      <c r="E505" s="57">
        <v>1490272</v>
      </c>
      <c r="F505" s="55">
        <v>44131</v>
      </c>
      <c r="G505" s="56" t="s">
        <v>672</v>
      </c>
      <c r="H505" s="54"/>
    </row>
    <row r="506" spans="1:8">
      <c r="A506" s="8" t="s">
        <v>17</v>
      </c>
      <c r="B506" s="44" t="s">
        <v>18</v>
      </c>
      <c r="C506" s="64">
        <v>-61362.01</v>
      </c>
      <c r="D506" s="56"/>
      <c r="E506" s="54">
        <v>1490670</v>
      </c>
      <c r="F506" s="55">
        <v>44133</v>
      </c>
      <c r="G506" s="56" t="s">
        <v>596</v>
      </c>
      <c r="H506" s="54"/>
    </row>
    <row r="507" spans="1:8">
      <c r="A507" s="8" t="s">
        <v>17</v>
      </c>
      <c r="B507" s="44" t="s">
        <v>19</v>
      </c>
      <c r="C507" s="64">
        <v>-50828.98</v>
      </c>
      <c r="D507" s="56"/>
      <c r="E507" s="54">
        <v>1490670</v>
      </c>
      <c r="F507" s="55">
        <v>44133</v>
      </c>
      <c r="G507" s="56" t="s">
        <v>599</v>
      </c>
      <c r="H507" s="54"/>
    </row>
    <row r="508" spans="1:8">
      <c r="B508" s="44" t="s">
        <v>131</v>
      </c>
      <c r="C508" s="64">
        <v>-16077.66</v>
      </c>
      <c r="D508" s="54" t="s">
        <v>866</v>
      </c>
      <c r="E508" s="54"/>
      <c r="F508" s="55">
        <v>44133</v>
      </c>
      <c r="G508" s="56" t="s">
        <v>703</v>
      </c>
      <c r="H508" s="54"/>
    </row>
    <row r="509" spans="1:8">
      <c r="B509" s="44" t="s">
        <v>131</v>
      </c>
      <c r="C509" s="64">
        <v>-20833.330000000002</v>
      </c>
      <c r="D509" s="53" t="s">
        <v>866</v>
      </c>
      <c r="E509" s="54"/>
      <c r="F509" s="55">
        <v>44133</v>
      </c>
      <c r="G509" s="56" t="s">
        <v>703</v>
      </c>
      <c r="H509" s="54"/>
    </row>
    <row r="510" spans="1:8">
      <c r="B510" s="44" t="s">
        <v>27</v>
      </c>
      <c r="C510" s="64">
        <f>(1*200)*-1</f>
        <v>-200</v>
      </c>
      <c r="D510" s="51" t="s">
        <v>678</v>
      </c>
      <c r="E510" s="57">
        <v>1490670</v>
      </c>
      <c r="F510" s="55">
        <v>44133</v>
      </c>
      <c r="G510" s="55" t="s">
        <v>873</v>
      </c>
      <c r="H510" s="54"/>
    </row>
    <row r="511" spans="1:8">
      <c r="B511" s="44" t="s">
        <v>36</v>
      </c>
      <c r="C511" s="64">
        <v>-14094.35</v>
      </c>
      <c r="D511" s="54" t="s">
        <v>866</v>
      </c>
      <c r="E511" s="57"/>
      <c r="F511" s="55">
        <v>44133</v>
      </c>
      <c r="G511" s="56" t="s">
        <v>762</v>
      </c>
      <c r="H511" s="54"/>
    </row>
    <row r="512" spans="1:8">
      <c r="B512" s="44" t="s">
        <v>60</v>
      </c>
      <c r="C512" s="64">
        <v>-786</v>
      </c>
      <c r="D512" s="54"/>
      <c r="E512" s="54">
        <v>426001</v>
      </c>
      <c r="F512" s="55">
        <v>44134</v>
      </c>
      <c r="G512" s="51" t="s">
        <v>716</v>
      </c>
      <c r="H512" s="54"/>
    </row>
    <row r="513" spans="1:8">
      <c r="B513" s="44" t="s">
        <v>40</v>
      </c>
      <c r="C513" s="64">
        <v>-3000.3</v>
      </c>
      <c r="D513" s="56"/>
      <c r="E513" s="54">
        <v>16497</v>
      </c>
      <c r="F513" s="55">
        <v>44137</v>
      </c>
      <c r="G513" s="51" t="s">
        <v>490</v>
      </c>
      <c r="H513" s="54"/>
    </row>
    <row r="514" spans="1:8">
      <c r="B514" s="44" t="s">
        <v>40</v>
      </c>
      <c r="C514" s="64">
        <v>-1750</v>
      </c>
      <c r="D514" s="56"/>
      <c r="E514" s="54">
        <v>16497</v>
      </c>
      <c r="F514" s="55">
        <v>44137</v>
      </c>
      <c r="G514" s="51" t="s">
        <v>492</v>
      </c>
      <c r="H514" s="54"/>
    </row>
    <row r="515" spans="1:8">
      <c r="B515" s="44" t="s">
        <v>40</v>
      </c>
      <c r="C515" s="64">
        <v>-1498.84</v>
      </c>
      <c r="D515" s="56"/>
      <c r="E515" s="54">
        <v>16497</v>
      </c>
      <c r="F515" s="55">
        <v>44137</v>
      </c>
      <c r="G515" s="51" t="s">
        <v>557</v>
      </c>
      <c r="H515" s="54"/>
    </row>
    <row r="516" spans="1:8">
      <c r="A516" s="8" t="s">
        <v>17</v>
      </c>
      <c r="B516" s="44" t="s">
        <v>18</v>
      </c>
      <c r="C516" s="64">
        <v>-53070.02</v>
      </c>
      <c r="D516" s="56"/>
      <c r="E516" s="54">
        <v>1492101</v>
      </c>
      <c r="F516" s="55">
        <v>44137</v>
      </c>
      <c r="G516" s="56" t="s">
        <v>661</v>
      </c>
      <c r="H516" s="54"/>
    </row>
    <row r="517" spans="1:8">
      <c r="B517" s="44" t="s">
        <v>31</v>
      </c>
      <c r="C517" s="64">
        <v>-4058.02</v>
      </c>
      <c r="D517" s="56"/>
      <c r="E517" s="54">
        <v>1813273</v>
      </c>
      <c r="F517" s="55">
        <v>44137</v>
      </c>
      <c r="G517" s="56" t="s">
        <v>682</v>
      </c>
      <c r="H517" s="54"/>
    </row>
    <row r="518" spans="1:8">
      <c r="B518" s="44" t="s">
        <v>31</v>
      </c>
      <c r="C518" s="64">
        <f>(2*110)*-1</f>
        <v>-220</v>
      </c>
      <c r="D518" s="56"/>
      <c r="E518" s="54">
        <v>1813273</v>
      </c>
      <c r="F518" s="55">
        <v>44137</v>
      </c>
      <c r="G518" s="56" t="s">
        <v>683</v>
      </c>
      <c r="H518" s="54"/>
    </row>
    <row r="519" spans="1:8">
      <c r="A519" s="8" t="s">
        <v>17</v>
      </c>
      <c r="B519" s="44" t="s">
        <v>25</v>
      </c>
      <c r="C519" s="64">
        <f>(1.5*125)*-1</f>
        <v>-187.5</v>
      </c>
      <c r="D519" s="56"/>
      <c r="E519" s="57">
        <v>1492101</v>
      </c>
      <c r="F519" s="55">
        <v>44137</v>
      </c>
      <c r="G519" s="56" t="s">
        <v>677</v>
      </c>
      <c r="H519" s="54"/>
    </row>
    <row r="520" spans="1:8">
      <c r="A520" s="8" t="s">
        <v>70</v>
      </c>
      <c r="B520" s="44" t="s">
        <v>6</v>
      </c>
      <c r="C520" s="64">
        <v>-28811.89</v>
      </c>
      <c r="D520" s="54"/>
      <c r="E520" s="54">
        <v>3088514</v>
      </c>
      <c r="F520" s="55">
        <v>44123</v>
      </c>
      <c r="G520" s="56" t="s">
        <v>636</v>
      </c>
      <c r="H520" s="54"/>
    </row>
    <row r="521" spans="1:8">
      <c r="A521" s="8" t="s">
        <v>17</v>
      </c>
      <c r="B521" s="35" t="s">
        <v>21</v>
      </c>
      <c r="C521" s="64">
        <v>-25508.6</v>
      </c>
      <c r="D521" s="56"/>
      <c r="E521" s="54">
        <v>1492650</v>
      </c>
      <c r="F521" s="55">
        <v>44140</v>
      </c>
      <c r="G521" s="56" t="s">
        <v>668</v>
      </c>
      <c r="H521" s="54"/>
    </row>
    <row r="522" spans="1:8">
      <c r="B522" s="44" t="s">
        <v>40</v>
      </c>
      <c r="C522" s="64">
        <v>-1931.91</v>
      </c>
      <c r="D522" s="56"/>
      <c r="E522" s="54">
        <v>16558</v>
      </c>
      <c r="F522" s="55">
        <v>44140</v>
      </c>
      <c r="G522" s="51" t="s">
        <v>698</v>
      </c>
      <c r="H522" s="54"/>
    </row>
    <row r="523" spans="1:8">
      <c r="A523" s="8" t="s">
        <v>70</v>
      </c>
      <c r="B523" s="44" t="s">
        <v>16</v>
      </c>
      <c r="C523" s="64">
        <v>-1250</v>
      </c>
      <c r="D523" s="56"/>
      <c r="E523" s="54">
        <v>13223</v>
      </c>
      <c r="F523" s="55">
        <v>44140</v>
      </c>
      <c r="G523" s="56" t="s">
        <v>659</v>
      </c>
      <c r="H523" s="54"/>
    </row>
    <row r="524" spans="1:8">
      <c r="B524" s="44" t="s">
        <v>40</v>
      </c>
      <c r="C524" s="64">
        <v>-1750</v>
      </c>
      <c r="D524" s="56"/>
      <c r="E524" s="54">
        <v>16600</v>
      </c>
      <c r="F524" s="55">
        <v>44140</v>
      </c>
      <c r="G524" s="51" t="s">
        <v>700</v>
      </c>
      <c r="H524" s="54"/>
    </row>
    <row r="525" spans="1:8">
      <c r="B525" s="44" t="s">
        <v>40</v>
      </c>
      <c r="C525" s="64">
        <v>-84.73</v>
      </c>
      <c r="D525" s="56"/>
      <c r="E525" s="54">
        <v>16600</v>
      </c>
      <c r="F525" s="55">
        <v>44140</v>
      </c>
      <c r="G525" s="51" t="s">
        <v>699</v>
      </c>
      <c r="H525" s="54"/>
    </row>
    <row r="526" spans="1:8">
      <c r="B526" s="44" t="s">
        <v>39</v>
      </c>
      <c r="C526" s="64">
        <v>-500</v>
      </c>
      <c r="D526" s="56"/>
      <c r="E526" s="57">
        <v>184822</v>
      </c>
      <c r="F526" s="55">
        <v>44141</v>
      </c>
      <c r="G526" s="56" t="s">
        <v>697</v>
      </c>
      <c r="H526" s="54"/>
    </row>
    <row r="527" spans="1:8">
      <c r="B527" s="44" t="s">
        <v>62</v>
      </c>
      <c r="C527" s="64">
        <v>-60.05</v>
      </c>
      <c r="D527" s="56"/>
      <c r="E527" s="54">
        <v>306725</v>
      </c>
      <c r="F527" s="55">
        <v>44144</v>
      </c>
      <c r="G527" s="51" t="s">
        <v>717</v>
      </c>
      <c r="H527" s="54"/>
    </row>
    <row r="528" spans="1:8">
      <c r="A528" s="8" t="s">
        <v>70</v>
      </c>
      <c r="B528" s="44" t="s">
        <v>15</v>
      </c>
      <c r="C528" s="64">
        <f>(4*110)*-1</f>
        <v>-440</v>
      </c>
      <c r="D528" s="51"/>
      <c r="E528" s="54">
        <v>248434</v>
      </c>
      <c r="F528" s="55">
        <v>44146</v>
      </c>
      <c r="G528" s="51" t="s">
        <v>236</v>
      </c>
      <c r="H528" s="54"/>
    </row>
    <row r="529" spans="1:8">
      <c r="A529" s="8" t="s">
        <v>70</v>
      </c>
      <c r="B529" s="44" t="s">
        <v>15</v>
      </c>
      <c r="C529" s="64">
        <f>(3*110)*-1</f>
        <v>-330</v>
      </c>
      <c r="D529" s="54"/>
      <c r="E529" s="54">
        <v>248434</v>
      </c>
      <c r="F529" s="55">
        <v>44146</v>
      </c>
      <c r="G529" s="51" t="s">
        <v>447</v>
      </c>
      <c r="H529" s="54"/>
    </row>
    <row r="530" spans="1:8">
      <c r="A530" s="8" t="s">
        <v>17</v>
      </c>
      <c r="B530" s="44" t="s">
        <v>18</v>
      </c>
      <c r="C530" s="64">
        <f>(254.75*125)*-1</f>
        <v>-31843.75</v>
      </c>
      <c r="D530" s="54"/>
      <c r="E530" s="54">
        <v>1494747</v>
      </c>
      <c r="F530" s="55">
        <v>44147</v>
      </c>
      <c r="G530" s="56" t="s">
        <v>595</v>
      </c>
      <c r="H530" s="54"/>
    </row>
    <row r="531" spans="1:8">
      <c r="A531" s="8" t="s">
        <v>17</v>
      </c>
      <c r="B531" s="44" t="s">
        <v>19</v>
      </c>
      <c r="C531" s="64">
        <f>(97.25*125)*-1</f>
        <v>-12156.25</v>
      </c>
      <c r="D531" s="54"/>
      <c r="E531" s="54">
        <v>1494747</v>
      </c>
      <c r="F531" s="55">
        <v>44147</v>
      </c>
      <c r="G531" s="56" t="s">
        <v>598</v>
      </c>
      <c r="H531" s="54"/>
    </row>
    <row r="532" spans="1:8">
      <c r="A532" s="8" t="s">
        <v>17</v>
      </c>
      <c r="B532" s="44" t="s">
        <v>20</v>
      </c>
      <c r="C532" s="64">
        <f>(9.75*125)*-1</f>
        <v>-1218.75</v>
      </c>
      <c r="D532" s="54"/>
      <c r="E532" s="54">
        <v>1494747</v>
      </c>
      <c r="F532" s="55">
        <v>44147</v>
      </c>
      <c r="G532" s="51" t="s">
        <v>600</v>
      </c>
      <c r="H532" s="54"/>
    </row>
    <row r="533" spans="1:8">
      <c r="A533" s="8" t="s">
        <v>17</v>
      </c>
      <c r="B533" s="62" t="s">
        <v>22</v>
      </c>
      <c r="C533" s="64">
        <v>-6609.8</v>
      </c>
      <c r="D533" s="54"/>
      <c r="E533" s="54">
        <v>1494484</v>
      </c>
      <c r="F533" s="55">
        <v>44147</v>
      </c>
      <c r="G533" s="56" t="s">
        <v>671</v>
      </c>
      <c r="H533" s="54"/>
    </row>
    <row r="534" spans="1:8">
      <c r="A534" s="8" t="s">
        <v>17</v>
      </c>
      <c r="B534" s="62" t="s">
        <v>23</v>
      </c>
      <c r="C534" s="64">
        <v>-6020.17</v>
      </c>
      <c r="D534" s="54"/>
      <c r="E534" s="54">
        <v>1494484</v>
      </c>
      <c r="F534" s="55">
        <v>44147</v>
      </c>
      <c r="G534" s="56" t="s">
        <v>674</v>
      </c>
      <c r="H534" s="54"/>
    </row>
    <row r="535" spans="1:8">
      <c r="A535" s="8" t="s">
        <v>17</v>
      </c>
      <c r="B535" s="44" t="s">
        <v>18</v>
      </c>
      <c r="C535" s="64">
        <f>(232.75*125)*-1</f>
        <v>-29093.75</v>
      </c>
      <c r="D535" s="54"/>
      <c r="E535" s="54">
        <v>1494747</v>
      </c>
      <c r="F535" s="55">
        <v>44147</v>
      </c>
      <c r="G535" s="56" t="s">
        <v>662</v>
      </c>
      <c r="H535" s="54"/>
    </row>
    <row r="536" spans="1:8">
      <c r="A536" s="8" t="s">
        <v>17</v>
      </c>
      <c r="B536" s="44" t="s">
        <v>19</v>
      </c>
      <c r="C536" s="64">
        <f>(93.75*125)*-1</f>
        <v>-11718.75</v>
      </c>
      <c r="D536" s="54"/>
      <c r="E536" s="54">
        <v>1494747</v>
      </c>
      <c r="F536" s="55">
        <v>44147</v>
      </c>
      <c r="G536" s="56" t="s">
        <v>665</v>
      </c>
      <c r="H536" s="54"/>
    </row>
    <row r="537" spans="1:8">
      <c r="A537" s="8" t="s">
        <v>17</v>
      </c>
      <c r="B537" s="44" t="s">
        <v>20</v>
      </c>
      <c r="C537" s="64">
        <f>(10.25*125)*-1</f>
        <v>-1281.25</v>
      </c>
      <c r="D537" s="54"/>
      <c r="E537" s="54">
        <v>1494484</v>
      </c>
      <c r="F537" s="55">
        <v>44147</v>
      </c>
      <c r="G537" s="51" t="s">
        <v>667</v>
      </c>
      <c r="H537" s="54"/>
    </row>
    <row r="538" spans="1:8">
      <c r="A538" s="8" t="s">
        <v>17</v>
      </c>
      <c r="B538" s="44" t="s">
        <v>24</v>
      </c>
      <c r="C538" s="64">
        <f>(1.75*125)*-1</f>
        <v>-218.75</v>
      </c>
      <c r="D538" s="54"/>
      <c r="E538" s="54">
        <v>1494484</v>
      </c>
      <c r="F538" s="55">
        <v>44147</v>
      </c>
      <c r="G538" s="56" t="s">
        <v>676</v>
      </c>
      <c r="H538" s="54"/>
    </row>
    <row r="539" spans="1:8">
      <c r="B539" s="44" t="s">
        <v>54</v>
      </c>
      <c r="C539" s="64">
        <v>-280</v>
      </c>
      <c r="D539" s="54"/>
      <c r="E539" s="54">
        <v>1892</v>
      </c>
      <c r="F539" s="55">
        <v>44147</v>
      </c>
      <c r="G539" s="51" t="s">
        <v>779</v>
      </c>
      <c r="H539" s="54"/>
    </row>
    <row r="540" spans="1:8">
      <c r="B540" s="44" t="s">
        <v>39</v>
      </c>
      <c r="C540" s="64">
        <v>-9045.64</v>
      </c>
      <c r="D540" s="54"/>
      <c r="E540" s="54">
        <v>184941</v>
      </c>
      <c r="F540" s="55">
        <v>44148</v>
      </c>
      <c r="G540" s="56" t="s">
        <v>695</v>
      </c>
      <c r="H540" s="54"/>
    </row>
    <row r="541" spans="1:8">
      <c r="B541" s="44" t="s">
        <v>35</v>
      </c>
      <c r="C541" s="64">
        <f>((1*150)+(0.5*150)+(1*150)+(1*150))*-1</f>
        <v>-525</v>
      </c>
      <c r="D541" s="54"/>
      <c r="E541" s="54">
        <v>132899</v>
      </c>
      <c r="F541" s="55">
        <v>44148</v>
      </c>
      <c r="G541" s="51" t="s">
        <v>689</v>
      </c>
      <c r="H541" s="54"/>
    </row>
    <row r="542" spans="1:8">
      <c r="B542" s="44" t="s">
        <v>50</v>
      </c>
      <c r="C542" s="64">
        <v>-372</v>
      </c>
      <c r="D542" s="54"/>
      <c r="E542" s="54">
        <v>2400247631</v>
      </c>
      <c r="F542" s="55">
        <v>44148</v>
      </c>
      <c r="G542" s="51" t="s">
        <v>709</v>
      </c>
      <c r="H542" s="54"/>
    </row>
    <row r="543" spans="1:8">
      <c r="B543" s="44" t="s">
        <v>37</v>
      </c>
      <c r="C543" s="64">
        <f>(75*150)*-1</f>
        <v>-11250</v>
      </c>
      <c r="D543" s="54" t="s">
        <v>866</v>
      </c>
      <c r="E543" s="54"/>
      <c r="F543" s="55">
        <v>44148</v>
      </c>
      <c r="G543" s="56" t="s">
        <v>766</v>
      </c>
      <c r="H543" s="54"/>
    </row>
    <row r="544" spans="1:8">
      <c r="B544" s="44" t="s">
        <v>63</v>
      </c>
      <c r="C544" s="64">
        <v>-385</v>
      </c>
      <c r="D544" s="54"/>
      <c r="E544" s="54">
        <v>2700</v>
      </c>
      <c r="F544" s="55">
        <v>44148</v>
      </c>
      <c r="G544" s="51" t="s">
        <v>784</v>
      </c>
      <c r="H544" s="54"/>
    </row>
    <row r="545" spans="1:8">
      <c r="A545" s="8" t="s">
        <v>17</v>
      </c>
      <c r="B545" s="44" t="s">
        <v>24</v>
      </c>
      <c r="C545" s="64">
        <f>(1*125)*-1</f>
        <v>-125</v>
      </c>
      <c r="D545" s="54"/>
      <c r="E545" s="57">
        <v>1495721</v>
      </c>
      <c r="F545" s="55">
        <v>44151</v>
      </c>
      <c r="G545" s="56" t="s">
        <v>182</v>
      </c>
      <c r="H545" s="54"/>
    </row>
    <row r="546" spans="1:8">
      <c r="A546" s="8" t="s">
        <v>17</v>
      </c>
      <c r="B546" s="35" t="s">
        <v>21</v>
      </c>
      <c r="C546" s="64">
        <v>-21296</v>
      </c>
      <c r="D546" s="54"/>
      <c r="E546" s="54">
        <v>1491444</v>
      </c>
      <c r="F546" s="55">
        <v>44151</v>
      </c>
      <c r="G546" s="56" t="s">
        <v>461</v>
      </c>
      <c r="H546" s="54"/>
    </row>
    <row r="547" spans="1:8">
      <c r="A547" s="8" t="s">
        <v>17</v>
      </c>
      <c r="B547" s="35" t="s">
        <v>21</v>
      </c>
      <c r="C547" s="64">
        <v>-19559.18</v>
      </c>
      <c r="D547" s="54"/>
      <c r="E547" s="54">
        <v>1491444</v>
      </c>
      <c r="F547" s="55">
        <v>44151</v>
      </c>
      <c r="G547" s="56" t="s">
        <v>537</v>
      </c>
      <c r="H547" s="54"/>
    </row>
    <row r="548" spans="1:8">
      <c r="A548" s="8" t="s">
        <v>17</v>
      </c>
      <c r="B548" s="35" t="s">
        <v>21</v>
      </c>
      <c r="C548" s="64">
        <v>-29029.02</v>
      </c>
      <c r="D548" s="54"/>
      <c r="E548" s="54">
        <v>1491444</v>
      </c>
      <c r="F548" s="55">
        <v>44151</v>
      </c>
      <c r="G548" s="56" t="s">
        <v>603</v>
      </c>
      <c r="H548" s="54"/>
    </row>
    <row r="549" spans="1:8">
      <c r="A549" s="8" t="s">
        <v>70</v>
      </c>
      <c r="B549" s="44" t="s">
        <v>9</v>
      </c>
      <c r="C549" s="64">
        <v>-3441.28</v>
      </c>
      <c r="D549" s="54"/>
      <c r="E549" s="54">
        <v>3088917</v>
      </c>
      <c r="F549" s="55">
        <v>44151</v>
      </c>
      <c r="G549" s="57" t="s">
        <v>645</v>
      </c>
      <c r="H549" s="54"/>
    </row>
    <row r="550" spans="1:8">
      <c r="A550" s="8" t="s">
        <v>70</v>
      </c>
      <c r="B550" s="44" t="s">
        <v>14</v>
      </c>
      <c r="C550" s="64">
        <v>-1273.01</v>
      </c>
      <c r="D550" s="54"/>
      <c r="E550" s="54">
        <v>3088917</v>
      </c>
      <c r="F550" s="55">
        <v>44151</v>
      </c>
      <c r="G550" s="56" t="s">
        <v>654</v>
      </c>
      <c r="H550" s="54"/>
    </row>
    <row r="551" spans="1:8">
      <c r="A551" s="8" t="s">
        <v>17</v>
      </c>
      <c r="B551" s="44" t="s">
        <v>18</v>
      </c>
      <c r="C551" s="64">
        <v>-50237.11</v>
      </c>
      <c r="D551" s="54"/>
      <c r="E551" s="54">
        <v>1491444</v>
      </c>
      <c r="F551" s="55">
        <v>44151</v>
      </c>
      <c r="G551" s="56" t="s">
        <v>663</v>
      </c>
      <c r="H551" s="54"/>
    </row>
    <row r="552" spans="1:8">
      <c r="A552" s="8" t="s">
        <v>17</v>
      </c>
      <c r="B552" s="44" t="s">
        <v>19</v>
      </c>
      <c r="C552" s="64">
        <v>-50493.25</v>
      </c>
      <c r="D552" s="54"/>
      <c r="E552" s="54">
        <v>1491444</v>
      </c>
      <c r="F552" s="55">
        <v>44151</v>
      </c>
      <c r="G552" s="56" t="s">
        <v>664</v>
      </c>
      <c r="H552" s="54"/>
    </row>
    <row r="553" spans="1:8">
      <c r="A553" s="8" t="s">
        <v>17</v>
      </c>
      <c r="B553" s="44" t="s">
        <v>19</v>
      </c>
      <c r="C553" s="64">
        <v>-50050.6</v>
      </c>
      <c r="D553" s="54"/>
      <c r="E553" s="54">
        <v>1491444</v>
      </c>
      <c r="F553" s="55">
        <v>44151</v>
      </c>
      <c r="G553" s="56" t="s">
        <v>666</v>
      </c>
      <c r="H553" s="54"/>
    </row>
    <row r="554" spans="1:8">
      <c r="A554" s="8" t="s">
        <v>17</v>
      </c>
      <c r="B554" s="35" t="s">
        <v>21</v>
      </c>
      <c r="C554" s="64">
        <v>-22642.43</v>
      </c>
      <c r="D554" s="54"/>
      <c r="E554" s="54">
        <v>1491444</v>
      </c>
      <c r="F554" s="55">
        <v>44151</v>
      </c>
      <c r="G554" s="56" t="s">
        <v>670</v>
      </c>
      <c r="H554" s="54"/>
    </row>
    <row r="555" spans="1:8">
      <c r="B555" s="44" t="s">
        <v>31</v>
      </c>
      <c r="C555" s="64">
        <v>-96.41</v>
      </c>
      <c r="D555" s="54"/>
      <c r="E555" s="54">
        <v>1839979</v>
      </c>
      <c r="F555" s="55">
        <v>44151</v>
      </c>
      <c r="G555" s="51" t="s">
        <v>684</v>
      </c>
      <c r="H555" s="54"/>
    </row>
    <row r="556" spans="1:8">
      <c r="B556" s="44" t="s">
        <v>39</v>
      </c>
      <c r="C556" s="64">
        <v>-53.28</v>
      </c>
      <c r="D556" s="54"/>
      <c r="E556" s="54">
        <v>185087</v>
      </c>
      <c r="F556" s="55">
        <v>44151</v>
      </c>
      <c r="G556" s="51" t="s">
        <v>696</v>
      </c>
      <c r="H556" s="54"/>
    </row>
    <row r="557" spans="1:8">
      <c r="B557" s="44" t="s">
        <v>706</v>
      </c>
      <c r="C557" s="64">
        <v>-49.05</v>
      </c>
      <c r="D557" s="54"/>
      <c r="E557" s="54">
        <v>1491444</v>
      </c>
      <c r="F557" s="55">
        <v>44151</v>
      </c>
      <c r="G557" s="51" t="s">
        <v>707</v>
      </c>
      <c r="H557" s="54"/>
    </row>
    <row r="558" spans="1:8">
      <c r="B558" s="44" t="s">
        <v>49</v>
      </c>
      <c r="C558" s="64">
        <v>-1232.8800000000001</v>
      </c>
      <c r="D558" s="54"/>
      <c r="E558" s="54">
        <v>754121</v>
      </c>
      <c r="F558" s="55">
        <v>44151</v>
      </c>
      <c r="G558" s="51" t="s">
        <v>708</v>
      </c>
      <c r="H558" s="54"/>
    </row>
    <row r="559" spans="1:8">
      <c r="A559" s="8" t="s">
        <v>70</v>
      </c>
      <c r="B559" s="44" t="s">
        <v>7</v>
      </c>
      <c r="C559" s="64">
        <v>-18984.04</v>
      </c>
      <c r="D559" s="54"/>
      <c r="E559" s="54">
        <v>3088917</v>
      </c>
      <c r="F559" s="55">
        <v>44151</v>
      </c>
      <c r="G559" s="56" t="s">
        <v>722</v>
      </c>
      <c r="H559" s="54"/>
    </row>
    <row r="560" spans="1:8">
      <c r="A560" s="8" t="s">
        <v>17</v>
      </c>
      <c r="B560" s="44" t="s">
        <v>18</v>
      </c>
      <c r="C560" s="64">
        <v>-50104.66</v>
      </c>
      <c r="D560" s="54"/>
      <c r="E560" s="54">
        <v>1491444</v>
      </c>
      <c r="F560" s="55">
        <v>44151</v>
      </c>
      <c r="G560" s="56" t="s">
        <v>740</v>
      </c>
      <c r="H560" s="54"/>
    </row>
    <row r="561" spans="1:8">
      <c r="A561" s="8" t="s">
        <v>17</v>
      </c>
      <c r="B561" s="44" t="s">
        <v>19</v>
      </c>
      <c r="C561" s="64">
        <v>-60588.97</v>
      </c>
      <c r="D561" s="54"/>
      <c r="E561" s="54">
        <v>1491444</v>
      </c>
      <c r="F561" s="55">
        <v>44151</v>
      </c>
      <c r="G561" s="56" t="s">
        <v>743</v>
      </c>
      <c r="H561" s="54"/>
    </row>
    <row r="562" spans="1:8">
      <c r="A562" s="8" t="s">
        <v>17</v>
      </c>
      <c r="B562" s="35" t="s">
        <v>21</v>
      </c>
      <c r="C562" s="64">
        <v>-27127.96</v>
      </c>
      <c r="D562" s="54"/>
      <c r="E562" s="54">
        <v>1491444</v>
      </c>
      <c r="F562" s="55">
        <v>44151</v>
      </c>
      <c r="G562" s="56" t="s">
        <v>747</v>
      </c>
      <c r="H562" s="54"/>
    </row>
    <row r="563" spans="1:8">
      <c r="B563" s="44" t="s">
        <v>53</v>
      </c>
      <c r="C563" s="64">
        <v>-910</v>
      </c>
      <c r="D563" s="54"/>
      <c r="E563" s="54">
        <v>2463</v>
      </c>
      <c r="F563" s="55">
        <v>44151</v>
      </c>
      <c r="G563" s="51" t="s">
        <v>778</v>
      </c>
      <c r="H563" s="54"/>
    </row>
    <row r="564" spans="1:8">
      <c r="A564" s="8" t="s">
        <v>70</v>
      </c>
      <c r="B564" s="44" t="s">
        <v>10</v>
      </c>
      <c r="C564" s="64">
        <f>(9.75*110)*-1</f>
        <v>-1072.5</v>
      </c>
      <c r="D564" s="54"/>
      <c r="E564" s="54">
        <v>248621</v>
      </c>
      <c r="F564" s="55">
        <v>44152</v>
      </c>
      <c r="G564" s="57" t="s">
        <v>730</v>
      </c>
      <c r="H564" s="54"/>
    </row>
    <row r="565" spans="1:8">
      <c r="A565" s="8" t="s">
        <v>70</v>
      </c>
      <c r="B565" s="44" t="s">
        <v>6</v>
      </c>
      <c r="C565" s="64">
        <f>(141.5*110)*-1</f>
        <v>-15565</v>
      </c>
      <c r="D565" s="54"/>
      <c r="E565" s="54">
        <v>251186</v>
      </c>
      <c r="F565" s="55">
        <v>44183</v>
      </c>
      <c r="G565" s="56" t="s">
        <v>720</v>
      </c>
      <c r="H565" s="54"/>
    </row>
    <row r="566" spans="1:8">
      <c r="B566" s="44" t="s">
        <v>37</v>
      </c>
      <c r="C566" s="64">
        <v>-46094.29</v>
      </c>
      <c r="D566" s="53" t="s">
        <v>866</v>
      </c>
      <c r="E566" s="54"/>
      <c r="F566" s="55">
        <v>44154</v>
      </c>
      <c r="G566" s="56" t="s">
        <v>764</v>
      </c>
      <c r="H566" s="54"/>
    </row>
    <row r="567" spans="1:8">
      <c r="B567" s="44" t="s">
        <v>131</v>
      </c>
      <c r="C567" s="64">
        <v>-19685.080000000002</v>
      </c>
      <c r="D567" s="53" t="s">
        <v>866</v>
      </c>
      <c r="E567" s="54"/>
      <c r="F567" s="55">
        <v>44154</v>
      </c>
      <c r="G567" s="56" t="s">
        <v>772</v>
      </c>
      <c r="H567" s="54"/>
    </row>
    <row r="568" spans="1:8">
      <c r="A568" s="8" t="s">
        <v>70</v>
      </c>
      <c r="B568" s="44" t="s">
        <v>12</v>
      </c>
      <c r="C568" s="64">
        <f>(4*110)*-1</f>
        <v>-440</v>
      </c>
      <c r="D568" s="53"/>
      <c r="E568" s="54">
        <v>248669</v>
      </c>
      <c r="F568" s="55">
        <v>44154</v>
      </c>
      <c r="G568" s="56" t="s">
        <v>734</v>
      </c>
      <c r="H568" s="54"/>
    </row>
    <row r="569" spans="1:8">
      <c r="A569" s="8" t="s">
        <v>70</v>
      </c>
      <c r="B569" s="44" t="s">
        <v>9</v>
      </c>
      <c r="C569" s="64">
        <f>(2.5*110)*-1</f>
        <v>-275</v>
      </c>
      <c r="D569" s="53"/>
      <c r="E569" s="54">
        <v>248667</v>
      </c>
      <c r="F569" s="55">
        <v>44154</v>
      </c>
      <c r="G569" s="57" t="s">
        <v>728</v>
      </c>
      <c r="H569" s="54"/>
    </row>
    <row r="570" spans="1:8">
      <c r="A570" s="8" t="s">
        <v>70</v>
      </c>
      <c r="B570" s="44" t="s">
        <v>13</v>
      </c>
      <c r="C570" s="64">
        <v>-100</v>
      </c>
      <c r="D570" s="53"/>
      <c r="E570" s="54">
        <v>248669</v>
      </c>
      <c r="F570" s="55">
        <v>44154</v>
      </c>
      <c r="G570" s="51" t="s">
        <v>735</v>
      </c>
      <c r="H570" s="54"/>
    </row>
    <row r="571" spans="1:8">
      <c r="B571" s="44" t="s">
        <v>59</v>
      </c>
      <c r="C571" s="64">
        <v>-834.45</v>
      </c>
      <c r="D571" s="53"/>
      <c r="E571" s="54">
        <v>743315</v>
      </c>
      <c r="F571" s="55">
        <v>44154</v>
      </c>
      <c r="G571" s="51" t="s">
        <v>781</v>
      </c>
      <c r="H571" s="54"/>
    </row>
    <row r="572" spans="1:8">
      <c r="B572" s="44" t="s">
        <v>36</v>
      </c>
      <c r="C572" s="64">
        <v>-24635.25</v>
      </c>
      <c r="D572" s="54" t="s">
        <v>866</v>
      </c>
      <c r="E572" s="54"/>
      <c r="F572" s="55">
        <v>44155</v>
      </c>
      <c r="G572" s="56" t="s">
        <v>763</v>
      </c>
      <c r="H572" s="54"/>
    </row>
    <row r="573" spans="1:8">
      <c r="A573" s="8" t="s">
        <v>70</v>
      </c>
      <c r="B573" s="44" t="s">
        <v>11</v>
      </c>
      <c r="C573" s="64">
        <f>(10.75*110)*-1</f>
        <v>-1182.5</v>
      </c>
      <c r="D573" s="54"/>
      <c r="E573" s="54">
        <v>249276</v>
      </c>
      <c r="F573" s="55">
        <v>44155</v>
      </c>
      <c r="G573" s="56" t="s">
        <v>732</v>
      </c>
      <c r="H573" s="54"/>
    </row>
    <row r="574" spans="1:8">
      <c r="B574" s="44" t="s">
        <v>52</v>
      </c>
      <c r="C574" s="64">
        <v>-943.95</v>
      </c>
      <c r="D574" s="54"/>
      <c r="E574" s="54">
        <v>33665554</v>
      </c>
      <c r="F574" s="55">
        <v>44158</v>
      </c>
      <c r="G574" s="51" t="s">
        <v>777</v>
      </c>
      <c r="H574" s="54"/>
    </row>
    <row r="575" spans="1:8">
      <c r="B575" s="44" t="s">
        <v>60</v>
      </c>
      <c r="C575" s="64">
        <v>-672</v>
      </c>
      <c r="D575" s="54"/>
      <c r="E575" s="54">
        <v>426665</v>
      </c>
      <c r="F575" s="55">
        <v>44158</v>
      </c>
      <c r="G575" s="51" t="s">
        <v>782</v>
      </c>
      <c r="H575" s="54"/>
    </row>
    <row r="576" spans="1:8">
      <c r="B576" s="44" t="s">
        <v>131</v>
      </c>
      <c r="C576" s="64">
        <v>-20833.330000000002</v>
      </c>
      <c r="D576" s="54"/>
      <c r="E576" s="54">
        <v>18466</v>
      </c>
      <c r="F576" s="55">
        <v>44159</v>
      </c>
      <c r="G576" s="56" t="s">
        <v>773</v>
      </c>
      <c r="H576" s="54"/>
    </row>
    <row r="577" spans="1:8">
      <c r="B577" s="44" t="s">
        <v>32</v>
      </c>
      <c r="C577" s="64">
        <v>-1997.6</v>
      </c>
      <c r="D577" s="54"/>
      <c r="E577" s="54">
        <v>17107</v>
      </c>
      <c r="F577" s="55">
        <v>44161</v>
      </c>
      <c r="G577" s="56" t="s">
        <v>761</v>
      </c>
      <c r="H577" s="54"/>
    </row>
    <row r="578" spans="1:8">
      <c r="B578" s="44" t="s">
        <v>40</v>
      </c>
      <c r="C578" s="64">
        <v>-1594.14</v>
      </c>
      <c r="D578" s="54"/>
      <c r="E578" s="54">
        <v>16757</v>
      </c>
      <c r="F578" s="55">
        <v>44161</v>
      </c>
      <c r="G578" s="51" t="s">
        <v>769</v>
      </c>
      <c r="H578" s="54"/>
    </row>
    <row r="579" spans="1:8">
      <c r="B579" s="44" t="s">
        <v>41</v>
      </c>
      <c r="C579" s="64">
        <v>-4436</v>
      </c>
      <c r="D579" s="54"/>
      <c r="E579" s="54">
        <v>71931</v>
      </c>
      <c r="F579" s="55">
        <v>44161</v>
      </c>
      <c r="G579" s="56" t="s">
        <v>770</v>
      </c>
      <c r="H579" s="54"/>
    </row>
    <row r="580" spans="1:8">
      <c r="A580" s="8" t="s">
        <v>70</v>
      </c>
      <c r="B580" s="44" t="s">
        <v>6</v>
      </c>
      <c r="C580" s="64">
        <v>-37177.339999999997</v>
      </c>
      <c r="D580" s="56"/>
      <c r="E580" s="54">
        <v>3088719</v>
      </c>
      <c r="F580" s="55">
        <v>44137</v>
      </c>
      <c r="G580" s="56" t="s">
        <v>719</v>
      </c>
      <c r="H580" s="54"/>
    </row>
    <row r="581" spans="1:8">
      <c r="A581" s="8" t="s">
        <v>70</v>
      </c>
      <c r="B581" s="44" t="s">
        <v>7</v>
      </c>
      <c r="C581" s="64">
        <v>-19142.169999999998</v>
      </c>
      <c r="D581" s="54"/>
      <c r="E581" s="54">
        <v>3089017</v>
      </c>
      <c r="F581" s="55">
        <v>44162</v>
      </c>
      <c r="G581" s="56" t="s">
        <v>722</v>
      </c>
      <c r="H581" s="54"/>
    </row>
    <row r="582" spans="1:8">
      <c r="A582" s="8" t="s">
        <v>70</v>
      </c>
      <c r="B582" s="44" t="s">
        <v>8</v>
      </c>
      <c r="C582" s="64">
        <v>-9065.1</v>
      </c>
      <c r="D582" s="54"/>
      <c r="E582" s="54">
        <v>3089017</v>
      </c>
      <c r="F582" s="55">
        <v>44162</v>
      </c>
      <c r="G582" s="57" t="s">
        <v>725</v>
      </c>
      <c r="H582" s="54"/>
    </row>
    <row r="583" spans="1:8">
      <c r="A583" s="8" t="s">
        <v>70</v>
      </c>
      <c r="B583" s="44" t="s">
        <v>11</v>
      </c>
      <c r="C583" s="64">
        <v>-9986.02</v>
      </c>
      <c r="D583" s="54"/>
      <c r="E583" s="54">
        <v>3089017</v>
      </c>
      <c r="F583" s="55">
        <v>44162</v>
      </c>
      <c r="G583" s="56" t="s">
        <v>731</v>
      </c>
      <c r="H583" s="54"/>
    </row>
    <row r="584" spans="1:8">
      <c r="B584" s="44" t="s">
        <v>31</v>
      </c>
      <c r="C584" s="64">
        <v>-5396.52</v>
      </c>
      <c r="D584" s="54"/>
      <c r="E584" s="54">
        <v>1859354</v>
      </c>
      <c r="F584" s="55">
        <v>44162</v>
      </c>
      <c r="G584" s="56" t="s">
        <v>757</v>
      </c>
      <c r="H584" s="54"/>
    </row>
    <row r="585" spans="1:8">
      <c r="B585" s="44" t="s">
        <v>31</v>
      </c>
      <c r="C585" s="64">
        <f>(3.75*110)*-1</f>
        <v>-412.5</v>
      </c>
      <c r="D585" s="54"/>
      <c r="E585" s="54">
        <v>1859354</v>
      </c>
      <c r="F585" s="55">
        <v>44162</v>
      </c>
      <c r="G585" s="56" t="s">
        <v>758</v>
      </c>
      <c r="H585" s="54"/>
    </row>
    <row r="586" spans="1:8">
      <c r="A586" s="8" t="s">
        <v>17</v>
      </c>
      <c r="B586" s="62" t="s">
        <v>22</v>
      </c>
      <c r="C586" s="64">
        <f>(245.75*125)*-1</f>
        <v>-30718.75</v>
      </c>
      <c r="D586" s="54"/>
      <c r="E586" s="57">
        <v>1498479</v>
      </c>
      <c r="F586" s="55">
        <v>44162</v>
      </c>
      <c r="G586" s="56" t="s">
        <v>751</v>
      </c>
      <c r="H586" s="54"/>
    </row>
    <row r="587" spans="1:8">
      <c r="A587" s="8" t="s">
        <v>17</v>
      </c>
      <c r="B587" s="44" t="s">
        <v>24</v>
      </c>
      <c r="C587" s="64">
        <f>(2.5*125)*-1</f>
        <v>-312.5</v>
      </c>
      <c r="D587" s="54"/>
      <c r="E587" s="57">
        <v>1498479</v>
      </c>
      <c r="F587" s="55">
        <v>44162</v>
      </c>
      <c r="G587" s="56" t="s">
        <v>755</v>
      </c>
      <c r="H587" s="54"/>
    </row>
    <row r="588" spans="1:8">
      <c r="B588" s="44" t="s">
        <v>51</v>
      </c>
      <c r="C588" s="64">
        <v>-98</v>
      </c>
      <c r="D588" s="51" t="s">
        <v>776</v>
      </c>
      <c r="E588" s="54">
        <v>2548</v>
      </c>
      <c r="F588" s="55">
        <v>44165</v>
      </c>
      <c r="G588" s="56" t="s">
        <v>874</v>
      </c>
      <c r="H588" s="54"/>
    </row>
    <row r="589" spans="1:8">
      <c r="A589" s="8" t="s">
        <v>70</v>
      </c>
      <c r="B589" s="44" t="s">
        <v>11</v>
      </c>
      <c r="C589" s="64">
        <v>-6132.01</v>
      </c>
      <c r="D589" s="54"/>
      <c r="E589" s="54">
        <v>3089126</v>
      </c>
      <c r="F589" s="55">
        <v>44166</v>
      </c>
      <c r="G589" s="56" t="s">
        <v>227</v>
      </c>
      <c r="H589" s="54"/>
    </row>
    <row r="590" spans="1:8">
      <c r="A590" s="8" t="s">
        <v>70</v>
      </c>
      <c r="B590" s="44" t="s">
        <v>12</v>
      </c>
      <c r="C590" s="64">
        <v>-720.29</v>
      </c>
      <c r="D590" s="54"/>
      <c r="E590" s="54">
        <v>3089126</v>
      </c>
      <c r="F590" s="55">
        <v>44166</v>
      </c>
      <c r="G590" s="56" t="s">
        <v>229</v>
      </c>
      <c r="H590" s="54"/>
    </row>
    <row r="591" spans="1:8">
      <c r="A591" s="8" t="s">
        <v>70</v>
      </c>
      <c r="B591" s="44" t="s">
        <v>6</v>
      </c>
      <c r="C591" s="64">
        <v>-41090.120000000003</v>
      </c>
      <c r="D591" s="54"/>
      <c r="E591" s="54">
        <v>3089017</v>
      </c>
      <c r="F591" s="55">
        <v>44162</v>
      </c>
      <c r="G591" s="56" t="s">
        <v>721</v>
      </c>
      <c r="H591" s="54"/>
    </row>
    <row r="592" spans="1:8">
      <c r="A592" s="8" t="s">
        <v>70</v>
      </c>
      <c r="B592" s="44" t="s">
        <v>6</v>
      </c>
      <c r="C592" s="64">
        <v>-36861.26</v>
      </c>
      <c r="D592" s="54"/>
      <c r="E592" s="54">
        <v>3089126</v>
      </c>
      <c r="F592" s="55">
        <v>44166</v>
      </c>
      <c r="G592" s="56" t="s">
        <v>785</v>
      </c>
      <c r="H592" s="54"/>
    </row>
    <row r="593" spans="1:8">
      <c r="A593" s="8" t="s">
        <v>70</v>
      </c>
      <c r="B593" s="44" t="s">
        <v>7</v>
      </c>
      <c r="C593" s="64">
        <v>-12425.57</v>
      </c>
      <c r="D593" s="54"/>
      <c r="E593" s="54">
        <v>3089126</v>
      </c>
      <c r="F593" s="55">
        <v>44166</v>
      </c>
      <c r="G593" s="56" t="s">
        <v>432</v>
      </c>
      <c r="H593" s="54"/>
    </row>
    <row r="594" spans="1:8">
      <c r="A594" s="8" t="s">
        <v>70</v>
      </c>
      <c r="B594" s="44" t="s">
        <v>14</v>
      </c>
      <c r="C594" s="64">
        <v>-1102.94</v>
      </c>
      <c r="D594" s="54"/>
      <c r="E594" s="54">
        <v>3089126</v>
      </c>
      <c r="F594" s="55">
        <v>44166</v>
      </c>
      <c r="G594" s="56" t="s">
        <v>444</v>
      </c>
      <c r="H594" s="54"/>
    </row>
    <row r="595" spans="1:8">
      <c r="A595" s="8" t="s">
        <v>70</v>
      </c>
      <c r="B595" s="44" t="s">
        <v>10</v>
      </c>
      <c r="C595" s="64">
        <v>-861.3</v>
      </c>
      <c r="D595" s="54"/>
      <c r="E595" s="54">
        <v>3089126</v>
      </c>
      <c r="F595" s="55">
        <v>44166</v>
      </c>
      <c r="G595" s="57" t="s">
        <v>729</v>
      </c>
      <c r="H595" s="54"/>
    </row>
    <row r="596" spans="1:8">
      <c r="A596" s="8" t="s">
        <v>70</v>
      </c>
      <c r="B596" s="44" t="s">
        <v>12</v>
      </c>
      <c r="C596" s="64">
        <v>-954.03</v>
      </c>
      <c r="D596" s="54"/>
      <c r="E596" s="54">
        <v>3089126</v>
      </c>
      <c r="F596" s="55">
        <v>44166</v>
      </c>
      <c r="G596" s="56" t="s">
        <v>733</v>
      </c>
      <c r="H596" s="54"/>
    </row>
    <row r="597" spans="1:8">
      <c r="A597" s="8" t="s">
        <v>70</v>
      </c>
      <c r="B597" s="44" t="s">
        <v>14</v>
      </c>
      <c r="C597" s="64">
        <v>-1983.59</v>
      </c>
      <c r="D597" s="54"/>
      <c r="E597" s="54">
        <v>3089126</v>
      </c>
      <c r="F597" s="55">
        <v>44166</v>
      </c>
      <c r="G597" s="56" t="s">
        <v>736</v>
      </c>
      <c r="H597" s="54"/>
    </row>
    <row r="598" spans="1:8">
      <c r="A598" s="8" t="s">
        <v>70</v>
      </c>
      <c r="B598" s="44" t="s">
        <v>16</v>
      </c>
      <c r="C598" s="64">
        <v>-1809.15</v>
      </c>
      <c r="D598" s="54"/>
      <c r="E598" s="54">
        <v>13364</v>
      </c>
      <c r="F598" s="55">
        <v>44166</v>
      </c>
      <c r="G598" s="56" t="s">
        <v>739</v>
      </c>
      <c r="H598" s="54"/>
    </row>
    <row r="599" spans="1:8">
      <c r="A599" s="8" t="s">
        <v>70</v>
      </c>
      <c r="B599" s="44" t="s">
        <v>6</v>
      </c>
      <c r="C599" s="64">
        <v>-35314.15</v>
      </c>
      <c r="D599" s="54"/>
      <c r="E599" s="54">
        <v>3089308</v>
      </c>
      <c r="F599" s="55">
        <v>44179</v>
      </c>
      <c r="G599" s="56" t="s">
        <v>787</v>
      </c>
      <c r="H599" s="54"/>
    </row>
    <row r="600" spans="1:8">
      <c r="A600" s="8" t="s">
        <v>70</v>
      </c>
      <c r="B600" s="44" t="s">
        <v>7</v>
      </c>
      <c r="C600" s="64">
        <v>-23137.599999999999</v>
      </c>
      <c r="D600" s="54"/>
      <c r="E600" s="54">
        <v>3089126</v>
      </c>
      <c r="F600" s="55">
        <v>44166</v>
      </c>
      <c r="G600" s="56" t="s">
        <v>788</v>
      </c>
      <c r="H600" s="54"/>
    </row>
    <row r="601" spans="1:8">
      <c r="A601" s="8" t="s">
        <v>17</v>
      </c>
      <c r="B601" s="44" t="s">
        <v>19</v>
      </c>
      <c r="C601" s="64">
        <v>-49494.58</v>
      </c>
      <c r="D601" s="54"/>
      <c r="E601" s="54">
        <v>1500132</v>
      </c>
      <c r="F601" s="55">
        <v>44168</v>
      </c>
      <c r="G601" s="56" t="s">
        <v>745</v>
      </c>
      <c r="H601" s="54"/>
    </row>
    <row r="602" spans="1:8">
      <c r="B602" s="44" t="s">
        <v>50</v>
      </c>
      <c r="C602" s="64">
        <v>-650</v>
      </c>
      <c r="D602" s="54"/>
      <c r="E602" s="54">
        <v>2400248562</v>
      </c>
      <c r="F602" s="55">
        <v>44168</v>
      </c>
      <c r="G602" s="51" t="s">
        <v>775</v>
      </c>
      <c r="H602" s="54"/>
    </row>
    <row r="603" spans="1:8">
      <c r="A603" s="8" t="s">
        <v>17</v>
      </c>
      <c r="B603" s="44" t="s">
        <v>25</v>
      </c>
      <c r="C603" s="64">
        <f>(1.75*125)*-1</f>
        <v>-218.75</v>
      </c>
      <c r="D603" s="54"/>
      <c r="E603" s="57">
        <v>1500754</v>
      </c>
      <c r="F603" s="55">
        <v>44169</v>
      </c>
      <c r="G603" s="56" t="s">
        <v>756</v>
      </c>
      <c r="H603" s="54"/>
    </row>
    <row r="604" spans="1:8">
      <c r="B604" s="44" t="s">
        <v>39</v>
      </c>
      <c r="C604" s="64">
        <v>-6819</v>
      </c>
      <c r="D604" s="54"/>
      <c r="E604" s="54">
        <v>572164</v>
      </c>
      <c r="F604" s="55">
        <v>44173</v>
      </c>
      <c r="G604" s="56" t="s">
        <v>767</v>
      </c>
      <c r="H604" s="54"/>
    </row>
    <row r="605" spans="1:8">
      <c r="B605" s="44" t="s">
        <v>58</v>
      </c>
      <c r="C605" s="64">
        <v>-50</v>
      </c>
      <c r="D605" s="54"/>
      <c r="E605" s="54">
        <v>125365</v>
      </c>
      <c r="F605" s="55">
        <v>44174</v>
      </c>
      <c r="G605" s="51" t="s">
        <v>714</v>
      </c>
      <c r="H605" s="54"/>
    </row>
    <row r="606" spans="1:8">
      <c r="B606" s="44" t="s">
        <v>567</v>
      </c>
      <c r="C606" s="64">
        <v>-629.36</v>
      </c>
      <c r="D606" s="54" t="s">
        <v>866</v>
      </c>
      <c r="E606" s="54"/>
      <c r="F606" s="55">
        <v>44174</v>
      </c>
      <c r="G606" s="51" t="s">
        <v>780</v>
      </c>
      <c r="H606" s="54"/>
    </row>
    <row r="607" spans="1:8">
      <c r="B607" s="44" t="s">
        <v>36</v>
      </c>
      <c r="C607" s="64">
        <v>-14314.75</v>
      </c>
      <c r="D607" s="54" t="s">
        <v>866</v>
      </c>
      <c r="E607" s="54"/>
      <c r="F607" s="55">
        <v>44174</v>
      </c>
      <c r="G607" s="56" t="s">
        <v>830</v>
      </c>
      <c r="H607" s="54"/>
    </row>
    <row r="608" spans="1:8">
      <c r="B608" s="44" t="s">
        <v>54</v>
      </c>
      <c r="C608" s="64">
        <v>-315</v>
      </c>
      <c r="D608" s="54"/>
      <c r="E608" s="54">
        <v>1901</v>
      </c>
      <c r="F608" s="55">
        <v>44175</v>
      </c>
      <c r="G608" s="51" t="s">
        <v>846</v>
      </c>
      <c r="H608" s="54"/>
    </row>
    <row r="609" spans="1:8">
      <c r="A609" s="8" t="s">
        <v>17</v>
      </c>
      <c r="B609" s="44" t="s">
        <v>18</v>
      </c>
      <c r="C609" s="64">
        <v>-53940.7</v>
      </c>
      <c r="D609" s="54"/>
      <c r="E609" s="54">
        <v>1500917</v>
      </c>
      <c r="F609" s="55">
        <v>44176</v>
      </c>
      <c r="G609" s="56" t="s">
        <v>742</v>
      </c>
      <c r="H609" s="54"/>
    </row>
    <row r="610" spans="1:8">
      <c r="A610" s="8" t="s">
        <v>17</v>
      </c>
      <c r="B610" s="35" t="s">
        <v>21</v>
      </c>
      <c r="C610" s="64">
        <v>-22913.5</v>
      </c>
      <c r="D610" s="54"/>
      <c r="E610" s="54">
        <v>1500917</v>
      </c>
      <c r="F610" s="55">
        <v>44176</v>
      </c>
      <c r="G610" s="56" t="s">
        <v>749</v>
      </c>
      <c r="H610" s="54"/>
    </row>
    <row r="611" spans="1:8">
      <c r="B611" s="44" t="s">
        <v>39</v>
      </c>
      <c r="C611" s="64">
        <v>-500</v>
      </c>
      <c r="D611" s="54"/>
      <c r="E611" s="57">
        <v>577645</v>
      </c>
      <c r="F611" s="55">
        <v>44176</v>
      </c>
      <c r="G611" s="56" t="s">
        <v>768</v>
      </c>
      <c r="H611" s="54"/>
    </row>
    <row r="612" spans="1:8">
      <c r="A612" s="8" t="s">
        <v>17</v>
      </c>
      <c r="B612" s="44" t="s">
        <v>19</v>
      </c>
      <c r="C612" s="64">
        <v>-47715.14</v>
      </c>
      <c r="D612" s="54"/>
      <c r="E612" s="54">
        <v>1500917</v>
      </c>
      <c r="F612" s="55">
        <v>44176</v>
      </c>
      <c r="G612" s="56" t="s">
        <v>810</v>
      </c>
      <c r="H612" s="54"/>
    </row>
    <row r="613" spans="1:8">
      <c r="A613" s="8" t="s">
        <v>17</v>
      </c>
      <c r="B613" s="35" t="s">
        <v>21</v>
      </c>
      <c r="C613" s="64">
        <v>-23874.53</v>
      </c>
      <c r="D613" s="54"/>
      <c r="E613" s="54">
        <v>1500917</v>
      </c>
      <c r="F613" s="55">
        <v>44176</v>
      </c>
      <c r="G613" s="56" t="s">
        <v>815</v>
      </c>
      <c r="H613" s="54"/>
    </row>
    <row r="614" spans="1:8">
      <c r="A614" s="8" t="s">
        <v>70</v>
      </c>
      <c r="B614" s="44" t="s">
        <v>6</v>
      </c>
      <c r="C614" s="64">
        <v>-30.03</v>
      </c>
      <c r="D614" s="54"/>
      <c r="E614" s="54">
        <v>241149</v>
      </c>
      <c r="F614" s="55">
        <v>44043</v>
      </c>
      <c r="G614" s="56" t="s">
        <v>427</v>
      </c>
      <c r="H614" s="54"/>
    </row>
    <row r="615" spans="1:8">
      <c r="A615" s="8" t="s">
        <v>70</v>
      </c>
      <c r="B615" s="44" t="s">
        <v>7</v>
      </c>
      <c r="C615" s="64">
        <v>-15701.17</v>
      </c>
      <c r="D615" s="54"/>
      <c r="E615" s="54">
        <v>3089308</v>
      </c>
      <c r="F615" s="55">
        <v>44179</v>
      </c>
      <c r="G615" s="56" t="s">
        <v>791</v>
      </c>
      <c r="H615" s="54"/>
    </row>
    <row r="616" spans="1:8">
      <c r="A616" s="8" t="s">
        <v>70</v>
      </c>
      <c r="B616" s="44" t="s">
        <v>8</v>
      </c>
      <c r="C616" s="64">
        <v>-8817.69</v>
      </c>
      <c r="D616" s="54"/>
      <c r="E616" s="54">
        <v>3089308</v>
      </c>
      <c r="F616" s="55">
        <v>44179</v>
      </c>
      <c r="G616" s="57" t="s">
        <v>792</v>
      </c>
      <c r="H616" s="54"/>
    </row>
    <row r="617" spans="1:8">
      <c r="A617" s="8" t="s">
        <v>70</v>
      </c>
      <c r="B617" s="44" t="s">
        <v>10</v>
      </c>
      <c r="C617" s="64">
        <v>-1520.59</v>
      </c>
      <c r="D617" s="54"/>
      <c r="E617" s="54">
        <v>3089308</v>
      </c>
      <c r="F617" s="55">
        <v>44179</v>
      </c>
      <c r="G617" s="57" t="s">
        <v>796</v>
      </c>
      <c r="H617" s="54"/>
    </row>
    <row r="618" spans="1:8">
      <c r="A618" s="8" t="s">
        <v>70</v>
      </c>
      <c r="B618" s="44" t="s">
        <v>11</v>
      </c>
      <c r="C618" s="64">
        <v>-7210.56</v>
      </c>
      <c r="D618" s="54"/>
      <c r="E618" s="54">
        <v>3089308</v>
      </c>
      <c r="F618" s="55">
        <v>44179</v>
      </c>
      <c r="G618" s="56" t="s">
        <v>798</v>
      </c>
      <c r="H618" s="54"/>
    </row>
    <row r="619" spans="1:8">
      <c r="A619" s="8" t="s">
        <v>70</v>
      </c>
      <c r="B619" s="44" t="s">
        <v>14</v>
      </c>
      <c r="C619" s="64">
        <v>-1745.53</v>
      </c>
      <c r="D619" s="54"/>
      <c r="E619" s="54">
        <v>3089308</v>
      </c>
      <c r="F619" s="55">
        <v>44179</v>
      </c>
      <c r="G619" s="56" t="s">
        <v>803</v>
      </c>
      <c r="H619" s="54"/>
    </row>
    <row r="620" spans="1:8">
      <c r="B620" s="35" t="s">
        <v>57</v>
      </c>
      <c r="C620" s="64">
        <v>-140</v>
      </c>
      <c r="D620" s="54"/>
      <c r="E620" s="54" t="s">
        <v>866</v>
      </c>
      <c r="F620" s="55">
        <v>44181</v>
      </c>
      <c r="G620" s="51" t="s">
        <v>847</v>
      </c>
      <c r="H620" s="54"/>
    </row>
    <row r="621" spans="1:8">
      <c r="B621" s="44" t="s">
        <v>53</v>
      </c>
      <c r="C621" s="64">
        <v>-1155</v>
      </c>
      <c r="D621" s="54"/>
      <c r="E621" s="54">
        <v>2470</v>
      </c>
      <c r="F621" s="55">
        <v>44182</v>
      </c>
      <c r="G621" s="51" t="s">
        <v>845</v>
      </c>
      <c r="H621" s="54"/>
    </row>
    <row r="622" spans="1:8">
      <c r="B622" s="44" t="s">
        <v>36</v>
      </c>
      <c r="C622" s="64">
        <v>-3689.6</v>
      </c>
      <c r="D622" s="54" t="s">
        <v>866</v>
      </c>
      <c r="E622" s="54"/>
      <c r="F622" s="55">
        <v>44182</v>
      </c>
      <c r="G622" s="56" t="s">
        <v>831</v>
      </c>
      <c r="H622" s="54"/>
    </row>
    <row r="623" spans="1:8">
      <c r="A623" s="8" t="s">
        <v>70</v>
      </c>
      <c r="B623" s="44" t="s">
        <v>6</v>
      </c>
      <c r="C623" s="64">
        <v>-30.03</v>
      </c>
      <c r="D623" s="54"/>
      <c r="E623" s="54">
        <v>248669</v>
      </c>
      <c r="F623" s="55">
        <v>44154</v>
      </c>
      <c r="G623" s="11" t="s">
        <v>637</v>
      </c>
      <c r="H623" s="54"/>
    </row>
    <row r="624" spans="1:8">
      <c r="A624" s="8" t="s">
        <v>70</v>
      </c>
      <c r="B624" s="44" t="s">
        <v>7</v>
      </c>
      <c r="C624" s="64">
        <f>(89.75*110)*-1</f>
        <v>-9872.5</v>
      </c>
      <c r="D624" s="54"/>
      <c r="E624" s="54">
        <v>251186</v>
      </c>
      <c r="F624" s="55">
        <v>44183</v>
      </c>
      <c r="G624" s="56" t="s">
        <v>723</v>
      </c>
      <c r="H624" s="54"/>
    </row>
    <row r="625" spans="1:8">
      <c r="B625" s="44" t="s">
        <v>59</v>
      </c>
      <c r="C625" s="64">
        <v>-969.95</v>
      </c>
      <c r="D625" s="54"/>
      <c r="E625" s="54">
        <v>744579</v>
      </c>
      <c r="F625" s="55">
        <v>44183</v>
      </c>
      <c r="G625" s="51" t="s">
        <v>848</v>
      </c>
      <c r="H625" s="54"/>
    </row>
    <row r="626" spans="1:8">
      <c r="A626" s="8" t="s">
        <v>70</v>
      </c>
      <c r="B626" s="44" t="s">
        <v>14</v>
      </c>
      <c r="C626" s="64">
        <f>(1*110)*-1</f>
        <v>-110</v>
      </c>
      <c r="D626" s="54"/>
      <c r="E626" s="54">
        <v>251356</v>
      </c>
      <c r="F626" s="55">
        <v>44186</v>
      </c>
      <c r="G626" s="56" t="s">
        <v>525</v>
      </c>
      <c r="H626" s="54"/>
    </row>
    <row r="627" spans="1:8">
      <c r="A627" s="8" t="s">
        <v>70</v>
      </c>
      <c r="B627" s="44" t="s">
        <v>15</v>
      </c>
      <c r="C627" s="64">
        <f>(1*110)*-1</f>
        <v>-110</v>
      </c>
      <c r="D627" s="54"/>
      <c r="E627" s="54">
        <v>251243</v>
      </c>
      <c r="F627" s="55">
        <v>44186</v>
      </c>
      <c r="G627" s="51" t="s">
        <v>738</v>
      </c>
      <c r="H627" s="54"/>
    </row>
    <row r="628" spans="1:8">
      <c r="A628" s="8" t="s">
        <v>70</v>
      </c>
      <c r="B628" s="44" t="s">
        <v>8</v>
      </c>
      <c r="C628" s="64">
        <f>(18.25*110)*-1</f>
        <v>-2007.5</v>
      </c>
      <c r="D628" s="54"/>
      <c r="E628" s="57">
        <v>251353</v>
      </c>
      <c r="F628" s="55">
        <v>44186</v>
      </c>
      <c r="G628" s="57" t="s">
        <v>793</v>
      </c>
      <c r="H628" s="54"/>
    </row>
    <row r="629" spans="1:8">
      <c r="A629" s="8" t="s">
        <v>70</v>
      </c>
      <c r="B629" s="44" t="s">
        <v>10</v>
      </c>
      <c r="C629" s="64">
        <f>(7*110)*-1</f>
        <v>-770</v>
      </c>
      <c r="D629" s="54"/>
      <c r="E629" s="54">
        <v>251299</v>
      </c>
      <c r="F629" s="55">
        <v>44186</v>
      </c>
      <c r="G629" s="57" t="s">
        <v>797</v>
      </c>
      <c r="H629" s="54"/>
    </row>
    <row r="630" spans="1:8">
      <c r="B630" s="44" t="s">
        <v>52</v>
      </c>
      <c r="C630" s="64">
        <v>-885.4</v>
      </c>
      <c r="D630" s="54"/>
      <c r="E630" s="60">
        <v>33666659</v>
      </c>
      <c r="F630" s="55">
        <v>44186</v>
      </c>
      <c r="G630" s="51" t="s">
        <v>844</v>
      </c>
      <c r="H630" s="54"/>
    </row>
    <row r="631" spans="1:8">
      <c r="B631" s="44" t="s">
        <v>62</v>
      </c>
      <c r="C631" s="64">
        <v>-120.1</v>
      </c>
      <c r="D631" s="54"/>
      <c r="E631" s="60">
        <v>307050</v>
      </c>
      <c r="F631" s="55">
        <v>44186</v>
      </c>
      <c r="G631" s="51" t="s">
        <v>850</v>
      </c>
      <c r="H631" s="54"/>
    </row>
    <row r="632" spans="1:8">
      <c r="A632" s="8" t="s">
        <v>70</v>
      </c>
      <c r="B632" s="44" t="s">
        <v>14</v>
      </c>
      <c r="C632" s="68">
        <f>(1*110)*-1</f>
        <v>-110</v>
      </c>
      <c r="E632" s="41">
        <v>251356</v>
      </c>
      <c r="F632" s="45">
        <v>44186</v>
      </c>
      <c r="G632" s="39" t="s">
        <v>525</v>
      </c>
    </row>
    <row r="633" spans="1:8">
      <c r="A633" s="8" t="s">
        <v>70</v>
      </c>
      <c r="B633" s="44" t="s">
        <v>15</v>
      </c>
      <c r="C633" s="68">
        <f>(1*110)*-1</f>
        <v>-110</v>
      </c>
      <c r="E633" s="41">
        <v>251243</v>
      </c>
      <c r="F633" s="45">
        <v>44186</v>
      </c>
      <c r="G633" s="45" t="s">
        <v>874</v>
      </c>
    </row>
    <row r="634" spans="1:8">
      <c r="A634" s="8" t="s">
        <v>70</v>
      </c>
      <c r="B634" s="44" t="s">
        <v>8</v>
      </c>
      <c r="C634" s="68">
        <f>(18.25*110)*-1</f>
        <v>-2007.5</v>
      </c>
      <c r="E634" s="48">
        <v>251353</v>
      </c>
      <c r="F634" s="45">
        <v>44186</v>
      </c>
      <c r="G634" s="48" t="s">
        <v>793</v>
      </c>
    </row>
  </sheetData>
  <autoFilter ref="A1:H634" xr:uid="{2042808B-D26C-4799-83ED-631944C6603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Charges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Amy Stauter</cp:lastModifiedBy>
  <cp:revision/>
  <dcterms:created xsi:type="dcterms:W3CDTF">2020-12-28T17:48:03Z</dcterms:created>
  <dcterms:modified xsi:type="dcterms:W3CDTF">2021-02-09T18:45:26Z</dcterms:modified>
  <cp:category/>
  <cp:contentStatus/>
</cp:coreProperties>
</file>