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/Sydney Uni Dropbox/Andrey Vasnev/Research/2023/IPCC/"/>
    </mc:Choice>
  </mc:AlternateContent>
  <xr:revisionPtr revIDLastSave="0" documentId="13_ncr:1_{B4EE8E0F-89F8-4C46-9E97-4CD5CE19CDD3}" xr6:coauthVersionLast="47" xr6:coauthVersionMax="47" xr10:uidLastSave="{00000000-0000-0000-0000-000000000000}"/>
  <bookViews>
    <workbookView xWindow="35160" yWindow="460" windowWidth="29300" windowHeight="17420" xr2:uid="{8DED0DC3-E92A-7C48-BFE5-D1EF93751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" l="1"/>
  <c r="J83" i="1"/>
  <c r="O58" i="1"/>
  <c r="L47" i="1" l="1"/>
  <c r="J47" i="1"/>
  <c r="G28" i="1"/>
  <c r="F28" i="1"/>
  <c r="G27" i="1"/>
  <c r="F27" i="1"/>
  <c r="N31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B81" i="1"/>
  <c r="A81" i="1"/>
  <c r="B45" i="1"/>
  <c r="A45" i="1"/>
  <c r="N67" i="1"/>
  <c r="M59" i="1"/>
  <c r="M60" i="1"/>
  <c r="M61" i="1"/>
  <c r="M58" i="1"/>
  <c r="P58" i="1"/>
  <c r="Q58" i="1"/>
  <c r="P59" i="1"/>
  <c r="Q59" i="1"/>
  <c r="P60" i="1"/>
  <c r="Q60" i="1"/>
  <c r="P61" i="1"/>
  <c r="Q61" i="1"/>
  <c r="O59" i="1"/>
  <c r="O60" i="1"/>
  <c r="O61" i="1"/>
  <c r="N59" i="1"/>
  <c r="N60" i="1"/>
  <c r="N61" i="1"/>
  <c r="N58" i="1"/>
  <c r="C97" i="1"/>
  <c r="C110" i="1" s="1"/>
  <c r="C98" i="1"/>
  <c r="C111" i="1" s="1"/>
  <c r="C96" i="1"/>
  <c r="C109" i="1" s="1"/>
  <c r="F94" i="1"/>
  <c r="D94" i="1"/>
  <c r="D109" i="1" s="1"/>
  <c r="D110" i="1" s="1"/>
  <c r="D111" i="1" s="1"/>
  <c r="E67" i="1"/>
  <c r="J82" i="1" s="1"/>
  <c r="D98" i="1" s="1"/>
  <c r="F111" i="1" s="1"/>
  <c r="E31" i="1"/>
  <c r="D64" i="1"/>
  <c r="D63" i="1"/>
  <c r="C64" i="1"/>
  <c r="C63" i="1"/>
  <c r="G24" i="1"/>
  <c r="F24" i="1"/>
  <c r="G25" i="1"/>
  <c r="K44" i="1" l="1"/>
  <c r="K46" i="1"/>
  <c r="J44" i="1"/>
  <c r="N25" i="1"/>
  <c r="M25" i="1"/>
  <c r="N27" i="1"/>
  <c r="M31" i="1"/>
  <c r="M27" i="1"/>
  <c r="N28" i="1"/>
  <c r="N24" i="1"/>
  <c r="M28" i="1"/>
  <c r="M24" i="1"/>
  <c r="M67" i="1"/>
  <c r="M63" i="1"/>
  <c r="M64" i="1"/>
  <c r="N63" i="1"/>
  <c r="N82" i="1"/>
  <c r="N64" i="1"/>
  <c r="J46" i="1"/>
  <c r="K45" i="1"/>
  <c r="E94" i="1"/>
  <c r="E109" i="1" s="1"/>
  <c r="J45" i="1"/>
  <c r="R82" i="1"/>
  <c r="K81" i="1"/>
  <c r="E97" i="1" s="1"/>
  <c r="G110" i="1" s="1"/>
  <c r="J81" i="1"/>
  <c r="K80" i="1"/>
  <c r="E96" i="1" s="1"/>
  <c r="G109" i="1" s="1"/>
  <c r="J80" i="1"/>
  <c r="K82" i="1"/>
  <c r="E98" i="1" s="1"/>
  <c r="G111" i="1" s="1"/>
  <c r="F25" i="1"/>
  <c r="N46" i="1" l="1"/>
  <c r="N44" i="1"/>
  <c r="N45" i="1"/>
  <c r="D97" i="1"/>
  <c r="F110" i="1" s="1"/>
  <c r="N81" i="1"/>
  <c r="D96" i="1"/>
  <c r="F109" i="1" s="1"/>
  <c r="N80" i="1"/>
  <c r="E110" i="1"/>
  <c r="J110" i="1" s="1"/>
  <c r="K110" i="1" s="1"/>
  <c r="R45" i="1"/>
  <c r="M45" i="1"/>
  <c r="M44" i="1"/>
  <c r="R44" i="1"/>
  <c r="S45" i="1"/>
  <c r="L45" i="1"/>
  <c r="L44" i="1"/>
  <c r="S44" i="1"/>
  <c r="M46" i="1"/>
  <c r="R46" i="1"/>
  <c r="L46" i="1"/>
  <c r="Q46" i="1" s="1"/>
  <c r="S46" i="1"/>
  <c r="L82" i="1"/>
  <c r="F98" i="1" s="1"/>
  <c r="S82" i="1"/>
  <c r="R81" i="1"/>
  <c r="M81" i="1"/>
  <c r="L81" i="1"/>
  <c r="S81" i="1"/>
  <c r="R80" i="1"/>
  <c r="M80" i="1"/>
  <c r="M82" i="1"/>
  <c r="S80" i="1"/>
  <c r="L80" i="1"/>
  <c r="P80" i="1" s="1"/>
  <c r="P46" i="1" l="1"/>
  <c r="Q44" i="1"/>
  <c r="P44" i="1"/>
  <c r="O44" i="1"/>
  <c r="O45" i="1"/>
  <c r="P45" i="1"/>
  <c r="Q45" i="1"/>
  <c r="O46" i="1"/>
  <c r="H110" i="1"/>
  <c r="M110" i="1" s="1"/>
  <c r="E111" i="1"/>
  <c r="H111" i="1" s="1"/>
  <c r="O80" i="1"/>
  <c r="Q80" i="1"/>
  <c r="F96" i="1"/>
  <c r="O81" i="1"/>
  <c r="F97" i="1"/>
  <c r="P81" i="1"/>
  <c r="Q81" i="1"/>
  <c r="O82" i="1"/>
  <c r="P82" i="1"/>
  <c r="Q82" i="1"/>
  <c r="L110" i="1" l="1"/>
  <c r="J111" i="1"/>
  <c r="K111" i="1" s="1"/>
</calcChain>
</file>

<file path=xl/sharedStrings.xml><?xml version="1.0" encoding="utf-8"?>
<sst xmlns="http://schemas.openxmlformats.org/spreadsheetml/2006/main" count="146" uniqueCount="84">
  <si>
    <t>p_i</t>
  </si>
  <si>
    <t>Bounds</t>
  </si>
  <si>
    <t>l_i</t>
  </si>
  <si>
    <t>u_i</t>
  </si>
  <si>
    <t>Lognormal approx.</t>
  </si>
  <si>
    <t>\sigma_{0i}</t>
  </si>
  <si>
    <t>Lindzen and Choi, 2011</t>
  </si>
  <si>
    <t>Schmittner et al., 2011</t>
  </si>
  <si>
    <t>Aldrin et al., 2012</t>
  </si>
  <si>
    <t>Hargreaves et al., 2012</t>
  </si>
  <si>
    <t>Lewis, 2013</t>
  </si>
  <si>
    <t>Bender et al., 2010</t>
  </si>
  <si>
    <t>Otto et al., 2013</t>
  </si>
  <si>
    <t>Schwartz, 2012</t>
  </si>
  <si>
    <t>Lin et al., 2010</t>
  </si>
  <si>
    <t>Libardoni and Forest, 2011</t>
  </si>
  <si>
    <t>Köhler et al., 2010</t>
  </si>
  <si>
    <t>Olson et al., 2012</t>
  </si>
  <si>
    <t>Huber et al. 2011</t>
  </si>
  <si>
    <t>Holden et al., 2010</t>
  </si>
  <si>
    <t>Palaeosens, 2012</t>
  </si>
  <si>
    <t>average</t>
  </si>
  <si>
    <t>median</t>
  </si>
  <si>
    <t>\rho</t>
  </si>
  <si>
    <t>(a)</t>
  </si>
  <si>
    <t>(b)</t>
  </si>
  <si>
    <t>(c)</t>
  </si>
  <si>
    <t> Paleoclimates</t>
  </si>
  <si>
    <t>(d)</t>
  </si>
  <si>
    <t> Process understanding</t>
  </si>
  <si>
    <t> Instrumental record</t>
  </si>
  <si>
    <t> Emergent constraints</t>
  </si>
  <si>
    <t>beta_0</t>
  </si>
  <si>
    <t>sigma_0</t>
  </si>
  <si>
    <t>mode</t>
  </si>
  <si>
    <t>quantiles</t>
  </si>
  <si>
    <t>posterior</t>
  </si>
  <si>
    <t>sigma_2^2</t>
  </si>
  <si>
    <t>b_2</t>
  </si>
  <si>
    <t>b_1</t>
  </si>
  <si>
    <t>sigma_1^2</t>
  </si>
  <si>
    <t>b_0</t>
  </si>
  <si>
    <t>sigma_2</t>
  </si>
  <si>
    <t>sigma_1</t>
  </si>
  <si>
    <t>IPCC5</t>
  </si>
  <si>
    <t>IPCC6</t>
  </si>
  <si>
    <t>prior using (5) and (6)</t>
  </si>
  <si>
    <t>sigma_0^2</t>
  </si>
  <si>
    <t>\kappa_m</t>
  </si>
  <si>
    <t>\kappa_v</t>
  </si>
  <si>
    <t>b_0i</t>
  </si>
  <si>
    <t>tau</t>
  </si>
  <si>
    <t>tau^2</t>
  </si>
  <si>
    <t>excluding 1st point</t>
  </si>
  <si>
    <t>IPCC5 (2013) posterior</t>
  </si>
  <si>
    <t>IPCC6 (2021) prior</t>
  </si>
  <si>
    <t>rho</t>
  </si>
  <si>
    <t>not possible</t>
  </si>
  <si>
    <t>during this gap the IPCC experts were exposed to numerous climate news (floods, fires etc), attended conferences etc</t>
  </si>
  <si>
    <t>in other words, their beliefs were updated before they started working on IPCC6</t>
  </si>
  <si>
    <t>there is a gap between the end of IPCC5 work and the start of work on IPCC6</t>
  </si>
  <si>
    <t>r--&gt;1</t>
  </si>
  <si>
    <t>min</t>
  </si>
  <si>
    <t>max</t>
  </si>
  <si>
    <t>of inputs</t>
  </si>
  <si>
    <t>mode check</t>
  </si>
  <si>
    <t>quantiles check</t>
  </si>
  <si>
    <t>values are copied with full Matlab precision</t>
  </si>
  <si>
    <t>excluding first study</t>
  </si>
  <si>
    <t>Table 6</t>
  </si>
  <si>
    <t>equations (20) can be used to find b_0 and \sigma_0 of this extra data point</t>
  </si>
  <si>
    <t>experiment prior</t>
  </si>
  <si>
    <t>experiment posterior</t>
  </si>
  <si>
    <t>experiment data</t>
  </si>
  <si>
    <t>Table 7 - last row</t>
  </si>
  <si>
    <t>we model this update with an extra data point representing the events in the gap (experiment)</t>
  </si>
  <si>
    <t>Section 7: Dynamic consistency</t>
  </si>
  <si>
    <t xml:space="preserve">The IPCC prior project to compute numerical values for Magnus and Vasnev (2025) "The role of data and priors in estimating climate sensitivity" </t>
  </si>
  <si>
    <t>available at http://www.janmagnus.nl/papers/prior-ecs.pdf</t>
  </si>
  <si>
    <t>Table 6 is computed in Matlab, the rest of numerical calculations are in this spreadsheet</t>
  </si>
  <si>
    <t>Table 2</t>
  </si>
  <si>
    <t>Table 7</t>
  </si>
  <si>
    <t>Matlab calculations with equicorrelation assumption corresponding to Table 6 in the paper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</si>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</sst>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>
    <font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2"/>
      <color theme="1"/>
      <name val="CMR1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3" xfId="0" applyBorder="1"/>
    <xf numFmtId="0" fontId="3" fillId="0" borderId="4" xfId="0" applyFont="1" applyBorder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9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6" fontId="0" fillId="0" borderId="15" xfId="0" applyNumberFormat="1" applyBorder="1"/>
    <xf numFmtId="166" fontId="0" fillId="0" borderId="16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3" borderId="15" xfId="0" applyFill="1" applyBorder="1"/>
    <xf numFmtId="0" fontId="0" fillId="3" borderId="16" xfId="0" applyFill="1" applyBorder="1"/>
    <xf numFmtId="2" fontId="0" fillId="3" borderId="0" xfId="0" applyNumberFormat="1" applyFill="1"/>
    <xf numFmtId="165" fontId="0" fillId="3" borderId="0" xfId="0" applyNumberFormat="1" applyFill="1"/>
    <xf numFmtId="2" fontId="0" fillId="3" borderId="16" xfId="0" applyNumberFormat="1" applyFill="1" applyBorder="1"/>
    <xf numFmtId="2" fontId="0" fillId="4" borderId="15" xfId="0" applyNumberFormat="1" applyFill="1" applyBorder="1"/>
    <xf numFmtId="2" fontId="0" fillId="4" borderId="0" xfId="0" applyNumberFormat="1" applyFill="1"/>
    <xf numFmtId="165" fontId="0" fillId="4" borderId="0" xfId="0" applyNumberFormat="1" applyFill="1"/>
    <xf numFmtId="2" fontId="0" fillId="4" borderId="16" xfId="0" applyNumberFormat="1" applyFill="1" applyBorder="1"/>
    <xf numFmtId="0" fontId="0" fillId="4" borderId="17" xfId="0" applyFill="1" applyBorder="1"/>
    <xf numFmtId="2" fontId="0" fillId="4" borderId="18" xfId="0" applyNumberFormat="1" applyFill="1" applyBorder="1"/>
    <xf numFmtId="0" fontId="0" fillId="4" borderId="18" xfId="0" applyFill="1" applyBorder="1"/>
    <xf numFmtId="165" fontId="0" fillId="4" borderId="18" xfId="0" applyNumberFormat="1" applyFill="1" applyBorder="1"/>
    <xf numFmtId="2" fontId="0" fillId="4" borderId="19" xfId="0" applyNumberForma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0" xfId="0" applyFont="1" applyFill="1"/>
    <xf numFmtId="9" fontId="0" fillId="3" borderId="0" xfId="0" applyNumberFormat="1" applyFill="1"/>
    <xf numFmtId="164" fontId="0" fillId="3" borderId="0" xfId="0" applyNumberFormat="1" applyFill="1"/>
    <xf numFmtId="164" fontId="1" fillId="3" borderId="0" xfId="0" applyNumberFormat="1" applyFont="1" applyFill="1"/>
    <xf numFmtId="2" fontId="1" fillId="3" borderId="0" xfId="0" applyNumberFormat="1" applyFont="1" applyFill="1"/>
    <xf numFmtId="2" fontId="1" fillId="3" borderId="16" xfId="0" applyNumberFormat="1" applyFont="1" applyFill="1" applyBorder="1"/>
    <xf numFmtId="0" fontId="0" fillId="3" borderId="17" xfId="0" applyFill="1" applyBorder="1"/>
    <xf numFmtId="0" fontId="1" fillId="3" borderId="18" xfId="0" applyFont="1" applyFill="1" applyBorder="1"/>
    <xf numFmtId="9" fontId="0" fillId="3" borderId="18" xfId="0" applyNumberFormat="1" applyFill="1" applyBorder="1"/>
    <xf numFmtId="164" fontId="0" fillId="3" borderId="18" xfId="0" applyNumberFormat="1" applyFill="1" applyBorder="1"/>
    <xf numFmtId="164" fontId="1" fillId="3" borderId="18" xfId="0" applyNumberFormat="1" applyFont="1" applyFill="1" applyBorder="1"/>
    <xf numFmtId="2" fontId="1" fillId="3" borderId="18" xfId="0" applyNumberFormat="1" applyFont="1" applyFill="1" applyBorder="1"/>
    <xf numFmtId="2" fontId="1" fillId="3" borderId="19" xfId="0" applyNumberFormat="1" applyFont="1" applyFill="1" applyBorder="1"/>
    <xf numFmtId="9" fontId="0" fillId="3" borderId="16" xfId="0" applyNumberFormat="1" applyFill="1" applyBorder="1"/>
    <xf numFmtId="0" fontId="2" fillId="3" borderId="15" xfId="0" applyFont="1" applyFill="1" applyBorder="1"/>
    <xf numFmtId="0" fontId="2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2" fontId="0" fillId="3" borderId="18" xfId="0" applyNumberFormat="1" applyFill="1" applyBorder="1"/>
    <xf numFmtId="166" fontId="0" fillId="3" borderId="0" xfId="0" applyNumberFormat="1" applyFill="1"/>
    <xf numFmtId="166" fontId="0" fillId="4" borderId="0" xfId="0" applyNumberFormat="1" applyFill="1"/>
    <xf numFmtId="166" fontId="0" fillId="4" borderId="18" xfId="0" applyNumberFormat="1" applyFill="1" applyBorder="1"/>
    <xf numFmtId="165" fontId="0" fillId="3" borderId="18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4" fillId="0" borderId="0" xfId="0" applyFo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104774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4B11BC0-BFD6-7E28-CDB3-3C1EEC4D5CA6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104774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49D2D9F-036D-63BE-0E05-EE1F14124AE4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104774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ACD2633E-A241-7FFE-AF34-3BCF2A712DA8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F5-450F-4949-923D-78E0DDD54AAD}">
  <dimension ref="A1:S111"/>
  <sheetViews>
    <sheetView tabSelected="1" zoomScale="161" zoomScaleNormal="160" workbookViewId="0">
      <selection activeCell="J72" sqref="J72"/>
    </sheetView>
  </sheetViews>
  <sheetFormatPr baseColWidth="10" defaultColWidth="11" defaultRowHeight="16"/>
  <cols>
    <col min="2" max="2" width="25.6640625" customWidth="1"/>
    <col min="3" max="8" width="8.83203125" customWidth="1"/>
    <col min="9" max="9" width="1.83203125" customWidth="1"/>
    <col min="13" max="13" width="11" customWidth="1"/>
    <col min="16" max="16" width="9.83203125" customWidth="1"/>
  </cols>
  <sheetData>
    <row r="1" spans="1:14" ht="19">
      <c r="A1" s="79" t="s">
        <v>77</v>
      </c>
    </row>
    <row r="2" spans="1:14" ht="19">
      <c r="A2" s="79" t="s">
        <v>78</v>
      </c>
    </row>
    <row r="3" spans="1:14">
      <c r="A3" t="s">
        <v>79</v>
      </c>
    </row>
    <row r="5" spans="1:14" s="6" customFormat="1" ht="17" thickBot="1">
      <c r="A5" s="6" t="s">
        <v>44</v>
      </c>
    </row>
    <row r="6" spans="1:14">
      <c r="A6" s="48" t="s">
        <v>80</v>
      </c>
      <c r="B6" s="49"/>
      <c r="C6" s="49"/>
      <c r="D6" s="84" t="s">
        <v>1</v>
      </c>
      <c r="E6" s="84"/>
      <c r="F6" s="84" t="s">
        <v>4</v>
      </c>
      <c r="G6" s="85"/>
      <c r="H6" s="1"/>
      <c r="M6" t="s">
        <v>34</v>
      </c>
      <c r="N6" t="s">
        <v>22</v>
      </c>
    </row>
    <row r="7" spans="1:14">
      <c r="A7" s="34"/>
      <c r="B7" s="7"/>
      <c r="C7" s="50" t="s">
        <v>0</v>
      </c>
      <c r="D7" s="50" t="s">
        <v>2</v>
      </c>
      <c r="E7" s="50" t="s">
        <v>3</v>
      </c>
      <c r="F7" s="50" t="s">
        <v>50</v>
      </c>
      <c r="G7" s="51" t="s">
        <v>5</v>
      </c>
      <c r="H7" s="1"/>
      <c r="M7" t="s">
        <v>64</v>
      </c>
    </row>
    <row r="8" spans="1:14">
      <c r="A8" s="34">
        <v>1</v>
      </c>
      <c r="B8" s="52" t="s">
        <v>6</v>
      </c>
      <c r="C8" s="53">
        <v>0.95</v>
      </c>
      <c r="D8" s="54">
        <v>0.5</v>
      </c>
      <c r="E8" s="55">
        <v>1.1000000000000001</v>
      </c>
      <c r="F8" s="56">
        <v>-0.3</v>
      </c>
      <c r="G8" s="57">
        <v>0.2</v>
      </c>
      <c r="H8" s="2"/>
      <c r="M8" s="3">
        <f t="shared" ref="M8:M22" si="0">EXP(F8-G8^2)</f>
        <v>0.71177032276260976</v>
      </c>
      <c r="N8" s="3">
        <f t="shared" ref="N8:N22" si="1">EXP(F8)</f>
        <v>0.74081822068171788</v>
      </c>
    </row>
    <row r="9" spans="1:14">
      <c r="A9" s="34">
        <v>2</v>
      </c>
      <c r="B9" s="52" t="s">
        <v>7</v>
      </c>
      <c r="C9" s="53">
        <v>0.9</v>
      </c>
      <c r="D9" s="54">
        <v>1.4</v>
      </c>
      <c r="E9" s="55">
        <v>2.8</v>
      </c>
      <c r="F9" s="56">
        <v>0.68</v>
      </c>
      <c r="G9" s="57">
        <v>0.21</v>
      </c>
      <c r="H9" s="2"/>
      <c r="M9" s="3">
        <f t="shared" si="0"/>
        <v>1.8887212258593427</v>
      </c>
      <c r="N9" s="3">
        <f t="shared" si="1"/>
        <v>1.9738777322304477</v>
      </c>
    </row>
    <row r="10" spans="1:14">
      <c r="A10" s="34">
        <v>3</v>
      </c>
      <c r="B10" s="52" t="s">
        <v>8</v>
      </c>
      <c r="C10" s="53">
        <v>0.9</v>
      </c>
      <c r="D10" s="54">
        <v>1.2</v>
      </c>
      <c r="E10" s="55">
        <v>3.5</v>
      </c>
      <c r="F10" s="56">
        <v>0.72</v>
      </c>
      <c r="G10" s="57">
        <v>0.33</v>
      </c>
      <c r="H10" s="2"/>
      <c r="M10" s="3">
        <f t="shared" si="0"/>
        <v>1.8424569871896748</v>
      </c>
      <c r="N10" s="3">
        <f t="shared" si="1"/>
        <v>2.0544332106438876</v>
      </c>
    </row>
    <row r="11" spans="1:14">
      <c r="A11" s="34">
        <v>4</v>
      </c>
      <c r="B11" s="52" t="s">
        <v>9</v>
      </c>
      <c r="C11" s="53">
        <v>0.9</v>
      </c>
      <c r="D11" s="54">
        <v>1</v>
      </c>
      <c r="E11" s="55">
        <v>4.2</v>
      </c>
      <c r="F11" s="56">
        <v>0.72</v>
      </c>
      <c r="G11" s="57">
        <v>0.44</v>
      </c>
      <c r="H11" s="2"/>
      <c r="M11" s="3">
        <f t="shared" si="0"/>
        <v>1.6928271481898673</v>
      </c>
      <c r="N11" s="3">
        <f t="shared" si="1"/>
        <v>2.0544332106438876</v>
      </c>
    </row>
    <row r="12" spans="1:14">
      <c r="A12" s="34">
        <v>5</v>
      </c>
      <c r="B12" s="52" t="s">
        <v>10</v>
      </c>
      <c r="C12" s="53">
        <v>0.9</v>
      </c>
      <c r="D12" s="54">
        <v>2</v>
      </c>
      <c r="E12" s="55">
        <v>3.6</v>
      </c>
      <c r="F12" s="56">
        <v>0.99</v>
      </c>
      <c r="G12" s="57">
        <v>0.18</v>
      </c>
      <c r="H12" s="2"/>
      <c r="M12" s="3">
        <f t="shared" si="0"/>
        <v>2.6054359175590056</v>
      </c>
      <c r="N12" s="3">
        <f t="shared" si="1"/>
        <v>2.6912344723492621</v>
      </c>
    </row>
    <row r="13" spans="1:14">
      <c r="A13" s="34">
        <v>6</v>
      </c>
      <c r="B13" s="52" t="s">
        <v>11</v>
      </c>
      <c r="C13" s="53">
        <v>0.95</v>
      </c>
      <c r="D13" s="54">
        <v>1.7</v>
      </c>
      <c r="E13" s="55">
        <v>4.0999999999999996</v>
      </c>
      <c r="F13" s="56">
        <v>0.97</v>
      </c>
      <c r="G13" s="57">
        <v>0.22</v>
      </c>
      <c r="H13" s="2"/>
      <c r="M13" s="3">
        <f t="shared" si="0"/>
        <v>2.5133084681655893</v>
      </c>
      <c r="N13" s="3">
        <f t="shared" si="1"/>
        <v>2.6379444593541526</v>
      </c>
    </row>
    <row r="14" spans="1:14">
      <c r="A14" s="34">
        <v>7</v>
      </c>
      <c r="B14" s="52" t="s">
        <v>12</v>
      </c>
      <c r="C14" s="53">
        <v>0.9</v>
      </c>
      <c r="D14" s="54">
        <v>0.9</v>
      </c>
      <c r="E14" s="55">
        <v>5</v>
      </c>
      <c r="F14" s="56">
        <v>0.75</v>
      </c>
      <c r="G14" s="57">
        <v>0.52</v>
      </c>
      <c r="H14" s="2"/>
      <c r="M14" s="3">
        <f t="shared" si="0"/>
        <v>1.6154281017007319</v>
      </c>
      <c r="N14" s="3">
        <f t="shared" si="1"/>
        <v>2.1170000166126748</v>
      </c>
    </row>
    <row r="15" spans="1:14">
      <c r="A15" s="34">
        <v>8</v>
      </c>
      <c r="B15" s="52" t="s">
        <v>13</v>
      </c>
      <c r="C15" s="53">
        <v>0.9</v>
      </c>
      <c r="D15" s="54">
        <v>1.2</v>
      </c>
      <c r="E15" s="55">
        <v>4.9000000000000004</v>
      </c>
      <c r="F15" s="56">
        <v>0.89</v>
      </c>
      <c r="G15" s="57">
        <v>0.43</v>
      </c>
      <c r="H15" s="2"/>
      <c r="M15" s="3">
        <f t="shared" si="0"/>
        <v>2.0240490797104109</v>
      </c>
      <c r="N15" s="3">
        <f t="shared" si="1"/>
        <v>2.4351296512898744</v>
      </c>
    </row>
    <row r="16" spans="1:14">
      <c r="A16" s="34">
        <v>9</v>
      </c>
      <c r="B16" s="52" t="s">
        <v>14</v>
      </c>
      <c r="C16" s="53">
        <v>0.9</v>
      </c>
      <c r="D16" s="54">
        <v>2.8</v>
      </c>
      <c r="E16" s="55">
        <v>3.7</v>
      </c>
      <c r="F16" s="56">
        <v>1.17</v>
      </c>
      <c r="G16" s="57">
        <v>0.08</v>
      </c>
      <c r="H16" s="2"/>
      <c r="M16" s="3">
        <f t="shared" si="0"/>
        <v>3.2014377315050937</v>
      </c>
      <c r="N16" s="3">
        <f t="shared" si="1"/>
        <v>3.2219926385284996</v>
      </c>
    </row>
    <row r="17" spans="1:14">
      <c r="A17" s="34">
        <v>10</v>
      </c>
      <c r="B17" s="52" t="s">
        <v>15</v>
      </c>
      <c r="C17" s="53">
        <v>0.9</v>
      </c>
      <c r="D17" s="54">
        <v>1.2</v>
      </c>
      <c r="E17" s="55">
        <v>5.3</v>
      </c>
      <c r="F17" s="56">
        <v>0.93</v>
      </c>
      <c r="G17" s="57">
        <v>0.45</v>
      </c>
      <c r="H17" s="2"/>
      <c r="M17" s="3">
        <f t="shared" si="0"/>
        <v>2.0698993853813565</v>
      </c>
      <c r="N17" s="3">
        <f t="shared" si="1"/>
        <v>2.534509177617855</v>
      </c>
    </row>
    <row r="18" spans="1:14">
      <c r="A18" s="34">
        <v>11</v>
      </c>
      <c r="B18" s="52" t="s">
        <v>16</v>
      </c>
      <c r="C18" s="53">
        <v>0.9</v>
      </c>
      <c r="D18" s="54">
        <v>1.4</v>
      </c>
      <c r="E18" s="55">
        <v>5.2</v>
      </c>
      <c r="F18" s="56">
        <v>0.99</v>
      </c>
      <c r="G18" s="57">
        <v>0.4</v>
      </c>
      <c r="H18" s="2"/>
      <c r="M18" s="3">
        <f t="shared" si="0"/>
        <v>2.2933187402641826</v>
      </c>
      <c r="N18" s="3">
        <f t="shared" si="1"/>
        <v>2.6912344723492621</v>
      </c>
    </row>
    <row r="19" spans="1:14">
      <c r="A19" s="34">
        <v>12</v>
      </c>
      <c r="B19" s="52" t="s">
        <v>17</v>
      </c>
      <c r="C19" s="53">
        <v>0.95</v>
      </c>
      <c r="D19" s="54">
        <v>1.8</v>
      </c>
      <c r="E19" s="55">
        <v>4.9000000000000004</v>
      </c>
      <c r="F19" s="56">
        <v>1.0900000000000001</v>
      </c>
      <c r="G19" s="57">
        <v>0.26</v>
      </c>
      <c r="H19" s="2"/>
      <c r="M19" s="3">
        <f t="shared" si="0"/>
        <v>2.7798584245920086</v>
      </c>
      <c r="N19" s="3">
        <f t="shared" si="1"/>
        <v>2.9742740725630656</v>
      </c>
    </row>
    <row r="20" spans="1:14">
      <c r="A20" s="34">
        <v>13</v>
      </c>
      <c r="B20" s="52" t="s">
        <v>18</v>
      </c>
      <c r="C20" s="53">
        <v>0.67</v>
      </c>
      <c r="D20" s="54">
        <v>2.9</v>
      </c>
      <c r="E20" s="55">
        <v>4</v>
      </c>
      <c r="F20" s="56">
        <v>1.23</v>
      </c>
      <c r="G20" s="57">
        <v>0.17</v>
      </c>
      <c r="H20" s="2"/>
      <c r="M20" s="3">
        <f t="shared" si="0"/>
        <v>3.3237710607590114</v>
      </c>
      <c r="N20" s="3">
        <f t="shared" si="1"/>
        <v>3.4212295362896734</v>
      </c>
    </row>
    <row r="21" spans="1:14">
      <c r="A21" s="34">
        <v>14</v>
      </c>
      <c r="B21" s="52" t="s">
        <v>19</v>
      </c>
      <c r="C21" s="53">
        <v>0.9</v>
      </c>
      <c r="D21" s="54">
        <v>2</v>
      </c>
      <c r="E21" s="55">
        <v>5</v>
      </c>
      <c r="F21" s="56">
        <v>1.1499999999999999</v>
      </c>
      <c r="G21" s="57">
        <v>0.28000000000000003</v>
      </c>
      <c r="H21" s="2"/>
      <c r="M21" s="3">
        <f t="shared" si="0"/>
        <v>2.9200478408537482</v>
      </c>
      <c r="N21" s="3">
        <f t="shared" si="1"/>
        <v>3.1581929096897672</v>
      </c>
    </row>
    <row r="22" spans="1:14" ht="17" thickBot="1">
      <c r="A22" s="58">
        <v>15</v>
      </c>
      <c r="B22" s="59" t="s">
        <v>20</v>
      </c>
      <c r="C22" s="60">
        <v>0.95</v>
      </c>
      <c r="D22" s="61">
        <v>1.1000000000000001</v>
      </c>
      <c r="E22" s="62">
        <v>7</v>
      </c>
      <c r="F22" s="63">
        <v>1.02</v>
      </c>
      <c r="G22" s="64">
        <v>0.47</v>
      </c>
      <c r="H22" s="2"/>
      <c r="M22" s="3">
        <f t="shared" si="0"/>
        <v>2.2235388427305582</v>
      </c>
      <c r="N22" s="3">
        <f t="shared" si="1"/>
        <v>2.7731947639642978</v>
      </c>
    </row>
    <row r="24" spans="1:14">
      <c r="E24" t="s">
        <v>21</v>
      </c>
      <c r="F24" s="4">
        <f>AVERAGE(F8:F22)</f>
        <v>0.8666666666666667</v>
      </c>
      <c r="G24" s="4">
        <f>AVERAGE(G8:G22)</f>
        <v>0.30933333333333329</v>
      </c>
      <c r="H24" s="4"/>
      <c r="L24" t="s">
        <v>62</v>
      </c>
      <c r="M24" s="3">
        <f>MIN(M8:M22)</f>
        <v>0.71177032276260976</v>
      </c>
      <c r="N24" s="3">
        <f>MIN(N8:N22)</f>
        <v>0.74081822068171788</v>
      </c>
    </row>
    <row r="25" spans="1:14">
      <c r="E25" t="s">
        <v>22</v>
      </c>
      <c r="F25" s="4">
        <f>MEDIAN(F8:F22)</f>
        <v>0.97</v>
      </c>
      <c r="G25" s="4">
        <f>MEDIAN(G8:G22)</f>
        <v>0.28000000000000003</v>
      </c>
      <c r="H25" s="4"/>
      <c r="L25" t="s">
        <v>63</v>
      </c>
      <c r="M25" s="3">
        <f>MAX(M8:M22)</f>
        <v>3.3237710607590114</v>
      </c>
      <c r="N25" s="3">
        <f>MAX(N8:N22)</f>
        <v>3.4212295362896734</v>
      </c>
    </row>
    <row r="26" spans="1:14">
      <c r="E26" s="8" t="s">
        <v>68</v>
      </c>
      <c r="F26" s="4"/>
      <c r="G26" s="4"/>
      <c r="H26" s="4"/>
      <c r="L26" s="8" t="s">
        <v>68</v>
      </c>
    </row>
    <row r="27" spans="1:14">
      <c r="E27" t="s">
        <v>21</v>
      </c>
      <c r="F27" s="4">
        <f>AVERAGE(F9:F22)</f>
        <v>0.95</v>
      </c>
      <c r="G27" s="4">
        <f>AVERAGE(G9:G22)</f>
        <v>0.31714285714285717</v>
      </c>
      <c r="H27" s="4"/>
      <c r="L27" t="s">
        <v>62</v>
      </c>
      <c r="M27" s="3">
        <f>MIN(M9:M22)</f>
        <v>1.6154281017007319</v>
      </c>
      <c r="N27" s="3">
        <f>MIN(N9:N22)</f>
        <v>1.9738777322304477</v>
      </c>
    </row>
    <row r="28" spans="1:14">
      <c r="E28" t="s">
        <v>22</v>
      </c>
      <c r="F28" s="4">
        <f>MEDIAN(F9:F22)</f>
        <v>0.98</v>
      </c>
      <c r="G28" s="4">
        <f>MEDIAN(G9:G22)</f>
        <v>0.30500000000000005</v>
      </c>
      <c r="H28" s="4"/>
      <c r="L28" t="s">
        <v>63</v>
      </c>
      <c r="M28" s="3">
        <f>MAX(M9:M22)</f>
        <v>3.3237710607590114</v>
      </c>
      <c r="N28" s="3">
        <f>MAX(N9:N22)</f>
        <v>3.4212295362896734</v>
      </c>
    </row>
    <row r="29" spans="1:14" ht="17" thickBot="1"/>
    <row r="30" spans="1:14">
      <c r="B30" s="48"/>
      <c r="C30" s="49"/>
      <c r="D30" s="49" t="s">
        <v>38</v>
      </c>
      <c r="E30" s="49" t="s">
        <v>37</v>
      </c>
      <c r="F30" s="70" t="s">
        <v>42</v>
      </c>
      <c r="M30" t="s">
        <v>34</v>
      </c>
      <c r="N30" t="s">
        <v>22</v>
      </c>
    </row>
    <row r="31" spans="1:14" ht="17" thickBot="1">
      <c r="B31" s="58" t="s">
        <v>36</v>
      </c>
      <c r="C31" s="68"/>
      <c r="D31" s="71">
        <v>1.07</v>
      </c>
      <c r="E31" s="68">
        <f>F31^2</f>
        <v>0.28090000000000004</v>
      </c>
      <c r="F31" s="69">
        <v>0.53</v>
      </c>
      <c r="M31" s="3">
        <f>EXP(D31-E31)</f>
        <v>2.2014142615802066</v>
      </c>
      <c r="N31" s="3">
        <f>EXP(D31)</f>
        <v>2.9153794999769969</v>
      </c>
    </row>
    <row r="33" spans="1:19">
      <c r="B33" s="8" t="s">
        <v>53</v>
      </c>
      <c r="C33" t="s">
        <v>82</v>
      </c>
    </row>
    <row r="34" spans="1:19" ht="17" thickBot="1">
      <c r="C34" t="s">
        <v>67</v>
      </c>
    </row>
    <row r="35" spans="1:19">
      <c r="C35" s="22" t="s">
        <v>69</v>
      </c>
      <c r="D35" s="23"/>
      <c r="E35" s="23"/>
      <c r="F35" s="23"/>
      <c r="G35" s="23"/>
      <c r="H35" s="24"/>
      <c r="J35" s="22" t="s">
        <v>81</v>
      </c>
      <c r="K35" s="23"/>
      <c r="L35" s="24"/>
    </row>
    <row r="36" spans="1:19">
      <c r="C36" s="34"/>
      <c r="D36" s="7"/>
      <c r="E36" s="7"/>
      <c r="F36" s="7"/>
      <c r="G36" s="7"/>
      <c r="H36" s="35"/>
      <c r="J36" s="25" t="s">
        <v>46</v>
      </c>
      <c r="L36" s="26"/>
      <c r="M36" t="s">
        <v>34</v>
      </c>
      <c r="N36" t="s">
        <v>22</v>
      </c>
      <c r="O36" s="80" t="s">
        <v>35</v>
      </c>
      <c r="P36" s="80"/>
      <c r="Q36" s="80"/>
      <c r="R36" t="s">
        <v>48</v>
      </c>
      <c r="S36" t="s">
        <v>49</v>
      </c>
    </row>
    <row r="37" spans="1:19">
      <c r="C37" s="34" t="s">
        <v>23</v>
      </c>
      <c r="D37" s="7" t="s">
        <v>41</v>
      </c>
      <c r="E37" s="7" t="s">
        <v>47</v>
      </c>
      <c r="F37" s="7" t="s">
        <v>33</v>
      </c>
      <c r="G37" s="7" t="s">
        <v>52</v>
      </c>
      <c r="H37" s="35" t="s">
        <v>51</v>
      </c>
      <c r="J37" s="25" t="s">
        <v>39</v>
      </c>
      <c r="K37" t="s">
        <v>40</v>
      </c>
      <c r="L37" s="26" t="s">
        <v>43</v>
      </c>
      <c r="O37" s="21">
        <v>0.05</v>
      </c>
      <c r="P37" s="21">
        <v>0.5</v>
      </c>
      <c r="Q37" s="21">
        <v>0.95</v>
      </c>
    </row>
    <row r="38" spans="1:19">
      <c r="C38" s="34">
        <v>0</v>
      </c>
      <c r="D38" s="36">
        <v>1.0715141906635199</v>
      </c>
      <c r="E38" s="36">
        <v>7.4367442075946602E-2</v>
      </c>
      <c r="F38" s="36">
        <v>0.27270394850732299</v>
      </c>
      <c r="G38" s="37">
        <v>1.9049063163739601E-3</v>
      </c>
      <c r="H38" s="38">
        <v>4.3645224478093103E-2</v>
      </c>
      <c r="J38" s="27"/>
      <c r="K38" s="4"/>
      <c r="L38" s="28"/>
      <c r="M38" s="3"/>
      <c r="O38" s="3"/>
      <c r="P38" s="3"/>
      <c r="Q38" s="3"/>
      <c r="R38" s="4"/>
      <c r="S38" s="3"/>
    </row>
    <row r="39" spans="1:19">
      <c r="C39" s="34">
        <v>0.5</v>
      </c>
      <c r="D39" s="36">
        <v>1.1974471429646001</v>
      </c>
      <c r="E39" s="36">
        <v>0.102010636902579</v>
      </c>
      <c r="F39" s="36">
        <v>0.31939104174754801</v>
      </c>
      <c r="G39" s="37">
        <v>3.7796593451021399E-3</v>
      </c>
      <c r="H39" s="38">
        <v>6.1478934141504099E-2</v>
      </c>
      <c r="J39" s="27"/>
      <c r="K39" s="4"/>
      <c r="L39" s="26"/>
    </row>
    <row r="40" spans="1:19">
      <c r="C40" s="34">
        <v>0.6</v>
      </c>
      <c r="D40" s="36">
        <v>1.2060994423726601</v>
      </c>
      <c r="E40" s="36">
        <v>0.12350052285272101</v>
      </c>
      <c r="F40" s="36">
        <v>0.351426414447988</v>
      </c>
      <c r="G40" s="37">
        <v>3.8252888650573201E-3</v>
      </c>
      <c r="H40" s="38">
        <v>6.1848919668224298E-2</v>
      </c>
      <c r="J40" s="27"/>
      <c r="K40" s="4"/>
      <c r="L40" s="26"/>
    </row>
    <row r="41" spans="1:19">
      <c r="C41" s="34">
        <v>0.7</v>
      </c>
      <c r="D41" s="36">
        <v>1.21304513438107</v>
      </c>
      <c r="E41" s="36">
        <v>0.16037231838677701</v>
      </c>
      <c r="F41" s="36">
        <v>0.40046513741300299</v>
      </c>
      <c r="G41" s="37">
        <v>3.8541797830195798E-3</v>
      </c>
      <c r="H41" s="38">
        <v>6.2082040740751597E-2</v>
      </c>
      <c r="J41" s="27"/>
      <c r="K41" s="4"/>
      <c r="L41" s="26"/>
    </row>
    <row r="42" spans="1:19">
      <c r="C42" s="34">
        <v>0.8</v>
      </c>
      <c r="D42" s="36">
        <v>1.21874381773124</v>
      </c>
      <c r="E42" s="36">
        <v>0.23527254992541299</v>
      </c>
      <c r="F42" s="36">
        <v>0.48504907708161998</v>
      </c>
      <c r="G42" s="37">
        <v>3.87273683464061E-3</v>
      </c>
      <c r="H42" s="38">
        <v>6.22313171512121E-2</v>
      </c>
      <c r="J42" s="27"/>
      <c r="K42" s="4"/>
      <c r="L42" s="26"/>
    </row>
    <row r="43" spans="1:19">
      <c r="C43" s="39">
        <v>0.83357692307692299</v>
      </c>
      <c r="D43" s="40">
        <v>1.2204345327134201</v>
      </c>
      <c r="E43" s="40">
        <v>0.28085571844032398</v>
      </c>
      <c r="F43" s="40">
        <v>0.52995822329719899</v>
      </c>
      <c r="G43" s="41">
        <v>3.87735005360265E-3</v>
      </c>
      <c r="H43" s="42">
        <v>6.2268371213663902E-2</v>
      </c>
      <c r="J43" s="27"/>
      <c r="K43" s="4"/>
      <c r="L43" s="28"/>
    </row>
    <row r="44" spans="1:19">
      <c r="A44" t="s">
        <v>34</v>
      </c>
      <c r="B44" t="s">
        <v>22</v>
      </c>
      <c r="C44" s="34">
        <v>0.9</v>
      </c>
      <c r="D44" s="36">
        <v>1.2235036553755601</v>
      </c>
      <c r="E44" s="36">
        <v>0.46171419303062</v>
      </c>
      <c r="F44" s="36">
        <v>0.67949622890969097</v>
      </c>
      <c r="G44" s="37">
        <v>3.88468087652497E-3</v>
      </c>
      <c r="H44" s="38">
        <v>6.2327208154798502E-2</v>
      </c>
      <c r="J44" s="29">
        <f>(E44*D$31-E$31*D44)/(E44-E$31)</f>
        <v>0.83152769828365869</v>
      </c>
      <c r="K44" s="4">
        <f>E44*E$31/(E44-E$31)</f>
        <v>0.71728615242243676</v>
      </c>
      <c r="L44" s="30">
        <f t="shared" ref="L44:L46" si="2">SQRT(K44)</f>
        <v>0.84692747766407761</v>
      </c>
      <c r="M44" s="3">
        <f>EXP(J44-K44)</f>
        <v>1.1210228706188139</v>
      </c>
      <c r="N44" s="3">
        <f>EXP(J44)</f>
        <v>2.2968249168756514</v>
      </c>
      <c r="O44" s="3">
        <f>_xlfn.LOGNORM.INV(O$37, $J44,$L44)</f>
        <v>0.57032777753869646</v>
      </c>
      <c r="P44" s="3">
        <f t="shared" ref="P44:Q46" si="3">_xlfn.LOGNORM.INV(P$37, $J44,$L44)</f>
        <v>2.2968249168756514</v>
      </c>
      <c r="Q44" s="3">
        <f t="shared" si="3"/>
        <v>9.2497768941701342</v>
      </c>
      <c r="R44" s="3">
        <f t="shared" ref="R44:S46" si="4">J44/D44</f>
        <v>0.6796282909579191</v>
      </c>
      <c r="S44" s="3">
        <f t="shared" si="4"/>
        <v>1.5535284885099205</v>
      </c>
    </row>
    <row r="45" spans="1:19">
      <c r="A45" s="3">
        <f>EXP(D45-E45)</f>
        <v>1.3640039597109179</v>
      </c>
      <c r="B45" s="3">
        <f>EXP(D45)</f>
        <v>3.4062130848053038</v>
      </c>
      <c r="C45" s="34">
        <v>0.95</v>
      </c>
      <c r="D45" s="36">
        <v>1.22560114188234</v>
      </c>
      <c r="E45" s="36">
        <v>0.91517667945141401</v>
      </c>
      <c r="F45" s="36">
        <v>0.95689500725468801</v>
      </c>
      <c r="G45" s="37">
        <v>3.88891681185566E-3</v>
      </c>
      <c r="H45" s="38">
        <v>6.2361180326435402E-2</v>
      </c>
      <c r="J45" s="29">
        <f>(E45*D$31-E$31*D45)/(E45-E$31)</f>
        <v>1.0010894406640447</v>
      </c>
      <c r="K45" s="4">
        <f>E45*E$31/(E45-E$31)</f>
        <v>0.40530124721004218</v>
      </c>
      <c r="L45" s="30">
        <f t="shared" si="2"/>
        <v>0.63663274123315572</v>
      </c>
      <c r="M45" s="3">
        <f>EXP(J45-K45)</f>
        <v>1.8144605274026293</v>
      </c>
      <c r="N45" s="3">
        <f t="shared" ref="N45:N46" si="5">EXP(J45)</f>
        <v>2.721244848943742</v>
      </c>
      <c r="O45" s="3">
        <f t="shared" ref="O45:O46" si="6">_xlfn.LOGNORM.INV(O$37, $J45,$L45)</f>
        <v>0.95496724951657574</v>
      </c>
      <c r="P45" s="3">
        <f t="shared" si="3"/>
        <v>2.721244848943742</v>
      </c>
      <c r="Q45" s="3">
        <f t="shared" si="3"/>
        <v>7.7543743323674148</v>
      </c>
      <c r="R45" s="3">
        <f t="shared" si="4"/>
        <v>0.81681503586600868</v>
      </c>
      <c r="S45" s="3">
        <f t="shared" si="4"/>
        <v>0.4428666686010756</v>
      </c>
    </row>
    <row r="46" spans="1:19">
      <c r="C46" s="34">
        <v>0.99</v>
      </c>
      <c r="D46" s="36">
        <v>1.2271633168665701</v>
      </c>
      <c r="E46" s="36">
        <v>3.9119420980336899</v>
      </c>
      <c r="F46" s="36">
        <v>2.13289941769699</v>
      </c>
      <c r="G46" s="37">
        <v>3.8916633305438502E-3</v>
      </c>
      <c r="H46" s="38">
        <v>6.2383197340031303E-2</v>
      </c>
      <c r="J46" s="29">
        <f>(E46*D$31-E$31*D46)/(E46-E$31)</f>
        <v>1.0578417339937407</v>
      </c>
      <c r="K46" s="4">
        <f>E46*E$31/(E46-E$31)</f>
        <v>0.30263062384562528</v>
      </c>
      <c r="L46" s="30">
        <f t="shared" si="2"/>
        <v>0.55011873613395978</v>
      </c>
      <c r="M46" s="3">
        <f>EXP(J46-K46)</f>
        <v>2.1280607311536195</v>
      </c>
      <c r="N46" s="3">
        <f t="shared" si="5"/>
        <v>2.8801481505665407</v>
      </c>
      <c r="O46" s="3">
        <f t="shared" si="6"/>
        <v>1.1652981017427109</v>
      </c>
      <c r="P46" s="3">
        <f t="shared" si="3"/>
        <v>2.8801481505665407</v>
      </c>
      <c r="Q46" s="3">
        <f t="shared" si="3"/>
        <v>7.1185676496050698</v>
      </c>
      <c r="R46" s="3">
        <f t="shared" si="4"/>
        <v>0.86202196517316543</v>
      </c>
      <c r="S46" s="3">
        <f t="shared" si="4"/>
        <v>7.7360711447580069E-2</v>
      </c>
    </row>
    <row r="47" spans="1:19" ht="17" thickBot="1">
      <c r="C47" s="43" t="s">
        <v>61</v>
      </c>
      <c r="D47" s="44">
        <v>1.22753899947426</v>
      </c>
      <c r="E47" s="45"/>
      <c r="F47" s="44"/>
      <c r="G47" s="46">
        <v>3.8922718059081801E-3</v>
      </c>
      <c r="H47" s="47">
        <v>6.2388074228238402E-2</v>
      </c>
      <c r="J47" s="31">
        <f>D31</f>
        <v>1.07</v>
      </c>
      <c r="K47" s="32"/>
      <c r="L47" s="33">
        <f>F31</f>
        <v>0.53</v>
      </c>
    </row>
    <row r="48" spans="1:19">
      <c r="D48" s="3"/>
      <c r="F48" s="3"/>
      <c r="H48" s="3"/>
    </row>
    <row r="55" spans="1:17" s="6" customFormat="1" ht="17" thickBot="1">
      <c r="A55" s="6" t="s">
        <v>45</v>
      </c>
    </row>
    <row r="56" spans="1:17">
      <c r="A56" s="48" t="s">
        <v>83</v>
      </c>
      <c r="B56" s="49"/>
      <c r="C56" s="49"/>
      <c r="D56" s="49"/>
      <c r="E56" s="49"/>
      <c r="F56" s="84" t="s">
        <v>35</v>
      </c>
      <c r="G56" s="84"/>
      <c r="H56" s="85"/>
      <c r="O56" t="s">
        <v>66</v>
      </c>
    </row>
    <row r="57" spans="1:17">
      <c r="A57" s="34"/>
      <c r="B57" s="7"/>
      <c r="C57" s="7" t="s">
        <v>32</v>
      </c>
      <c r="D57" s="7" t="s">
        <v>33</v>
      </c>
      <c r="E57" s="7" t="s">
        <v>34</v>
      </c>
      <c r="F57" s="53">
        <v>0.05</v>
      </c>
      <c r="G57" s="53">
        <v>0.5</v>
      </c>
      <c r="H57" s="65">
        <v>0.95</v>
      </c>
      <c r="M57" t="s">
        <v>22</v>
      </c>
      <c r="N57" t="s">
        <v>65</v>
      </c>
      <c r="O57" s="21">
        <v>0.05</v>
      </c>
      <c r="P57" s="21">
        <v>0.5</v>
      </c>
      <c r="Q57" s="21">
        <v>0.95</v>
      </c>
    </row>
    <row r="58" spans="1:17">
      <c r="A58" s="66" t="s">
        <v>24</v>
      </c>
      <c r="B58" s="7" t="s">
        <v>29</v>
      </c>
      <c r="C58" s="7">
        <v>1.22</v>
      </c>
      <c r="D58" s="7">
        <v>0.36</v>
      </c>
      <c r="E58" s="7">
        <v>2.98</v>
      </c>
      <c r="F58" s="7">
        <v>1.87</v>
      </c>
      <c r="G58" s="7">
        <v>3.39</v>
      </c>
      <c r="H58" s="35">
        <v>6.12</v>
      </c>
      <c r="K58" s="3"/>
      <c r="M58" s="3">
        <f>EXP(C58)</f>
        <v>3.3871877336213347</v>
      </c>
      <c r="N58" s="3">
        <f>EXP(C58-D58^2)</f>
        <v>2.9754640201657452</v>
      </c>
      <c r="O58" s="3">
        <f>_xlfn.LOGNORM.INV(O$57, $C58,$D58)</f>
        <v>1.8735831010213888</v>
      </c>
      <c r="P58" s="3">
        <f t="shared" ref="P58:Q58" si="7">_xlfn.LOGNORM.INV(P$57, $C58,$D58)</f>
        <v>3.3871877336213347</v>
      </c>
      <c r="Q58" s="3">
        <f t="shared" si="7"/>
        <v>6.123582528333154</v>
      </c>
    </row>
    <row r="59" spans="1:17">
      <c r="A59" s="66" t="s">
        <v>25</v>
      </c>
      <c r="B59" s="7" t="s">
        <v>30</v>
      </c>
      <c r="C59" s="7">
        <v>1.03</v>
      </c>
      <c r="D59" s="7">
        <v>0.39</v>
      </c>
      <c r="E59" s="7">
        <v>2.41</v>
      </c>
      <c r="F59" s="7">
        <v>1.47</v>
      </c>
      <c r="G59" s="7">
        <v>2.8</v>
      </c>
      <c r="H59" s="35">
        <v>5.32</v>
      </c>
      <c r="K59" s="3"/>
      <c r="M59" s="3">
        <f>EXP(C59)</f>
        <v>2.8010658346990791</v>
      </c>
      <c r="N59" s="3">
        <f>EXP(C59-D59^2)</f>
        <v>2.4058421293483154</v>
      </c>
      <c r="O59" s="3">
        <f t="shared" ref="O59:Q61" si="8">_xlfn.LOGNORM.INV(O$57, $C59,$D59)</f>
        <v>1.4747774329468706</v>
      </c>
      <c r="P59" s="3">
        <f t="shared" si="8"/>
        <v>2.8010658346990791</v>
      </c>
      <c r="Q59" s="3">
        <f t="shared" si="8"/>
        <v>5.3201043323810477</v>
      </c>
    </row>
    <row r="60" spans="1:17">
      <c r="A60" s="66" t="s">
        <v>26</v>
      </c>
      <c r="B60" s="7" t="s">
        <v>27</v>
      </c>
      <c r="C60" s="7">
        <v>1.2</v>
      </c>
      <c r="D60" s="7">
        <v>0.61</v>
      </c>
      <c r="E60" s="7">
        <v>2.29</v>
      </c>
      <c r="F60" s="7">
        <v>1.22</v>
      </c>
      <c r="G60" s="7">
        <v>3.32</v>
      </c>
      <c r="H60" s="35">
        <v>9.06</v>
      </c>
      <c r="K60" s="3"/>
      <c r="M60" s="3">
        <f>EXP(C60)</f>
        <v>3.3201169227365472</v>
      </c>
      <c r="N60" s="3">
        <f>EXP(C60-D60^2)</f>
        <v>2.2885078241395704</v>
      </c>
      <c r="O60" s="3">
        <f t="shared" si="8"/>
        <v>1.2173048644941282</v>
      </c>
      <c r="P60" s="3">
        <f t="shared" si="8"/>
        <v>3.3201169227365472</v>
      </c>
      <c r="Q60" s="3">
        <f t="shared" si="8"/>
        <v>9.0553949977210184</v>
      </c>
    </row>
    <row r="61" spans="1:17" ht="17" thickBot="1">
      <c r="A61" s="67" t="s">
        <v>28</v>
      </c>
      <c r="B61" s="68" t="s">
        <v>31</v>
      </c>
      <c r="C61" s="68">
        <v>1.05</v>
      </c>
      <c r="D61" s="68">
        <v>0.36</v>
      </c>
      <c r="E61" s="68">
        <v>2.5099999999999998</v>
      </c>
      <c r="F61" s="68">
        <v>1.58</v>
      </c>
      <c r="G61" s="68">
        <v>2.86</v>
      </c>
      <c r="H61" s="69">
        <v>5.17</v>
      </c>
      <c r="K61" s="3"/>
      <c r="M61" s="3">
        <f>EXP(C61)</f>
        <v>2.8576511180631639</v>
      </c>
      <c r="N61" s="3">
        <f>EXP(C61-D61^2)</f>
        <v>2.5102943068622721</v>
      </c>
      <c r="O61" s="3">
        <f t="shared" si="8"/>
        <v>1.5806761433012939</v>
      </c>
      <c r="P61" s="3">
        <f t="shared" si="8"/>
        <v>2.8576511180631639</v>
      </c>
      <c r="Q61" s="3">
        <f t="shared" si="8"/>
        <v>5.1662511306790098</v>
      </c>
    </row>
    <row r="62" spans="1:17">
      <c r="A62" s="5"/>
      <c r="B62" s="18"/>
      <c r="C62" s="4"/>
      <c r="D62" s="4"/>
    </row>
    <row r="63" spans="1:17">
      <c r="A63" s="5"/>
      <c r="B63" t="s">
        <v>21</v>
      </c>
      <c r="C63" s="4">
        <f>AVERAGE(C58:C61)</f>
        <v>1.125</v>
      </c>
      <c r="D63" s="4">
        <f>AVERAGE(D58:D61)</f>
        <v>0.42999999999999994</v>
      </c>
      <c r="L63" t="s">
        <v>62</v>
      </c>
      <c r="M63" s="3">
        <f>MIN(M58:M61)</f>
        <v>2.8010658346990791</v>
      </c>
      <c r="N63" s="3">
        <f>MIN(N58:N61)</f>
        <v>2.2885078241395704</v>
      </c>
    </row>
    <row r="64" spans="1:17">
      <c r="B64" t="s">
        <v>22</v>
      </c>
      <c r="C64" s="4">
        <f>MEDIAN(C58:C61)</f>
        <v>1.125</v>
      </c>
      <c r="D64" s="4">
        <f>MEDIAN(D58:D61)</f>
        <v>0.375</v>
      </c>
      <c r="L64" t="s">
        <v>63</v>
      </c>
      <c r="M64" s="3">
        <f>MAX(M58:M61)</f>
        <v>3.3871877336213347</v>
      </c>
      <c r="N64" s="3">
        <f>MAX(N58:N61)</f>
        <v>2.9754640201657452</v>
      </c>
    </row>
    <row r="65" spans="1:19" ht="17" thickBot="1"/>
    <row r="66" spans="1:19">
      <c r="B66" s="48"/>
      <c r="C66" s="49"/>
      <c r="D66" s="49" t="s">
        <v>38</v>
      </c>
      <c r="E66" s="49" t="s">
        <v>37</v>
      </c>
      <c r="F66" s="70" t="s">
        <v>42</v>
      </c>
    </row>
    <row r="67" spans="1:19" ht="17" thickBot="1">
      <c r="B67" s="58" t="s">
        <v>36</v>
      </c>
      <c r="C67" s="68"/>
      <c r="D67" s="71">
        <v>1.1499999999999999</v>
      </c>
      <c r="E67" s="75">
        <f>F67^2</f>
        <v>7.2900000000000006E-2</v>
      </c>
      <c r="F67" s="69">
        <v>0.27</v>
      </c>
      <c r="M67" s="3">
        <f>EXP(D67-E67)</f>
        <v>2.9361523507839871</v>
      </c>
      <c r="N67" s="3">
        <f>EXP(D67)</f>
        <v>3.1581929096897672</v>
      </c>
    </row>
    <row r="68" spans="1:19">
      <c r="C68" s="4"/>
      <c r="D68" s="4"/>
    </row>
    <row r="69" spans="1:19">
      <c r="C69" t="s">
        <v>82</v>
      </c>
    </row>
    <row r="70" spans="1:19" ht="17" thickBot="1">
      <c r="C70" t="s">
        <v>67</v>
      </c>
    </row>
    <row r="71" spans="1:19">
      <c r="C71" s="48" t="s">
        <v>69</v>
      </c>
      <c r="D71" s="49"/>
      <c r="E71" s="49"/>
      <c r="F71" s="49"/>
      <c r="G71" s="49"/>
      <c r="H71" s="70"/>
      <c r="J71" s="22" t="s">
        <v>81</v>
      </c>
      <c r="K71" s="23"/>
      <c r="L71" s="24"/>
    </row>
    <row r="72" spans="1:19">
      <c r="C72" s="34"/>
      <c r="D72" s="7"/>
      <c r="E72" s="7"/>
      <c r="F72" s="7"/>
      <c r="G72" s="7"/>
      <c r="H72" s="35"/>
      <c r="J72" s="25" t="s">
        <v>46</v>
      </c>
      <c r="L72" s="26"/>
      <c r="M72" t="s">
        <v>34</v>
      </c>
      <c r="N72" t="s">
        <v>22</v>
      </c>
      <c r="O72" s="80" t="s">
        <v>35</v>
      </c>
      <c r="P72" s="80"/>
      <c r="Q72" s="80"/>
      <c r="R72" t="s">
        <v>48</v>
      </c>
      <c r="S72" t="s">
        <v>49</v>
      </c>
    </row>
    <row r="73" spans="1:19">
      <c r="C73" s="34" t="s">
        <v>23</v>
      </c>
      <c r="D73" s="7" t="s">
        <v>41</v>
      </c>
      <c r="E73" s="7" t="s">
        <v>47</v>
      </c>
      <c r="F73" s="7" t="s">
        <v>33</v>
      </c>
      <c r="G73" s="7" t="s">
        <v>52</v>
      </c>
      <c r="H73" s="35" t="s">
        <v>51</v>
      </c>
      <c r="J73" s="25" t="s">
        <v>39</v>
      </c>
      <c r="K73" t="s">
        <v>40</v>
      </c>
      <c r="L73" s="26" t="s">
        <v>43</v>
      </c>
      <c r="O73" s="21">
        <v>0.05</v>
      </c>
      <c r="P73" s="21">
        <v>0.5</v>
      </c>
      <c r="Q73" s="21">
        <v>0.95</v>
      </c>
    </row>
    <row r="74" spans="1:19">
      <c r="C74" s="34">
        <v>0</v>
      </c>
      <c r="D74" s="36">
        <v>1.11411850958935</v>
      </c>
      <c r="E74" s="72">
        <v>9.0369612337393192E-3</v>
      </c>
      <c r="F74" s="36">
        <v>9.5062933039783803E-2</v>
      </c>
      <c r="G74" s="72">
        <v>1.8685486236306699E-3</v>
      </c>
      <c r="H74" s="38">
        <v>4.3226711947755798E-2</v>
      </c>
      <c r="J74" s="27"/>
      <c r="K74" s="4"/>
      <c r="L74" s="28"/>
      <c r="R74" s="4"/>
      <c r="S74" s="3"/>
    </row>
    <row r="75" spans="1:19">
      <c r="C75" s="34">
        <v>0.5</v>
      </c>
      <c r="D75" s="36">
        <v>1.0999086153709801</v>
      </c>
      <c r="E75" s="72">
        <v>1.7929174644543602E-2</v>
      </c>
      <c r="F75" s="36">
        <v>0.13389986850057101</v>
      </c>
      <c r="G75" s="72">
        <v>8.1063237869999794E-3</v>
      </c>
      <c r="H75" s="38">
        <v>9.0035125487800405E-2</v>
      </c>
      <c r="J75" s="27"/>
      <c r="K75" s="4"/>
      <c r="L75" s="28"/>
      <c r="R75" s="4"/>
      <c r="S75" s="3"/>
    </row>
    <row r="76" spans="1:19">
      <c r="C76" s="34">
        <v>0.6</v>
      </c>
      <c r="D76" s="36">
        <v>1.0940606463138101</v>
      </c>
      <c r="E76" s="72">
        <v>2.2337005849842499E-2</v>
      </c>
      <c r="F76" s="36">
        <v>0.149455700050414</v>
      </c>
      <c r="G76" s="72">
        <v>1.06441061218089E-2</v>
      </c>
      <c r="H76" s="38">
        <v>0.103170277689944</v>
      </c>
      <c r="J76" s="27"/>
      <c r="K76" s="4"/>
      <c r="L76" s="28"/>
      <c r="R76" s="4"/>
      <c r="S76" s="3"/>
    </row>
    <row r="77" spans="1:19">
      <c r="C77" s="34">
        <v>0.7</v>
      </c>
      <c r="D77" s="36">
        <v>1.0857096038729199</v>
      </c>
      <c r="E77" s="72">
        <v>2.9640894769758199E-2</v>
      </c>
      <c r="F77" s="36">
        <v>0.17216531758966</v>
      </c>
      <c r="G77" s="72">
        <v>1.42384769922991E-2</v>
      </c>
      <c r="H77" s="38">
        <v>0.11932509036477799</v>
      </c>
      <c r="J77" s="27"/>
      <c r="K77" s="4"/>
      <c r="L77" s="28"/>
      <c r="R77" s="4"/>
      <c r="S77" s="3"/>
    </row>
    <row r="78" spans="1:19">
      <c r="C78" s="34">
        <v>0.8</v>
      </c>
      <c r="D78" s="36">
        <v>1.07281084476855</v>
      </c>
      <c r="E78" s="72">
        <v>4.41328511022041E-2</v>
      </c>
      <c r="F78" s="36">
        <v>0.21007823546078999</v>
      </c>
      <c r="G78" s="72">
        <v>1.9721705610306499E-2</v>
      </c>
      <c r="H78" s="38">
        <v>0.14043399249650401</v>
      </c>
      <c r="J78" s="27"/>
      <c r="K78" s="4"/>
      <c r="L78" s="28"/>
      <c r="R78" s="4"/>
      <c r="S78" s="3"/>
    </row>
    <row r="79" spans="1:19">
      <c r="C79" s="39">
        <v>0.880066666666667</v>
      </c>
      <c r="D79" s="40">
        <v>1.05599907998623</v>
      </c>
      <c r="E79" s="41">
        <v>7.2882097339955404E-2</v>
      </c>
      <c r="F79" s="40">
        <v>0.27000366518221502</v>
      </c>
      <c r="G79" s="73">
        <v>2.6739773151279501E-2</v>
      </c>
      <c r="H79" s="42">
        <v>0.16353431533387</v>
      </c>
      <c r="J79" s="27"/>
      <c r="K79" s="4"/>
      <c r="L79" s="28"/>
      <c r="R79" s="4"/>
      <c r="S79" s="3"/>
    </row>
    <row r="80" spans="1:19">
      <c r="A80" t="s">
        <v>34</v>
      </c>
      <c r="B80" t="s">
        <v>22</v>
      </c>
      <c r="C80" s="34">
        <v>0.9</v>
      </c>
      <c r="D80" s="36">
        <v>1.0502596050640201</v>
      </c>
      <c r="E80" s="72">
        <v>8.7116857428637798E-2</v>
      </c>
      <c r="F80" s="36">
        <v>0.295156145264025</v>
      </c>
      <c r="G80" s="72">
        <v>2.9108316512081199E-2</v>
      </c>
      <c r="H80" s="38">
        <v>0.17061160403789599</v>
      </c>
      <c r="J80" s="29">
        <f>(E80*D$67-E$67*D80)/(E80-E$67)</f>
        <v>1.6614403676994338</v>
      </c>
      <c r="K80" s="4">
        <f>E80*E$67/(E80-E$67)</f>
        <v>0.44671045893411682</v>
      </c>
      <c r="L80" s="30">
        <f t="shared" ref="L80:L82" si="9">SQRT(K80)</f>
        <v>0.66836401678585067</v>
      </c>
      <c r="M80" s="3">
        <f>EXP(J80-K80)</f>
        <v>3.3693839003557171</v>
      </c>
      <c r="N80" s="3">
        <f>EXP(J80)</f>
        <v>5.2668916441674174</v>
      </c>
      <c r="O80" s="3">
        <f>_xlfn.LOGNORM.INV(O$73, $J80,$L80)</f>
        <v>1.7543166196369053</v>
      </c>
      <c r="P80" s="3">
        <f>_xlfn.LOGNORM.INV(P$73, $J80,$L80)</f>
        <v>5.2668916441674174</v>
      </c>
      <c r="Q80" s="3">
        <f>_xlfn.LOGNORM.INV(Q$73, $J80,$L80)</f>
        <v>15.812509145094904</v>
      </c>
      <c r="R80" s="4">
        <f t="shared" ref="R80:S82" si="10">J80/D80</f>
        <v>1.5819330379731766</v>
      </c>
      <c r="S80" s="3">
        <f t="shared" si="10"/>
        <v>5.1277154860647025</v>
      </c>
    </row>
    <row r="81" spans="1:19">
      <c r="A81" s="3">
        <f>EXP(D81-E81)</f>
        <v>2.3608866379649571</v>
      </c>
      <c r="B81" s="3">
        <f>EXP(D81)</f>
        <v>2.8044269333759981</v>
      </c>
      <c r="C81" s="34">
        <v>0.95</v>
      </c>
      <c r="D81" s="36">
        <v>1.03119921627546</v>
      </c>
      <c r="E81" s="72">
        <v>0.17216197374033301</v>
      </c>
      <c r="F81" s="36">
        <v>0.41508159726865002</v>
      </c>
      <c r="G81" s="72">
        <v>3.6843624881393998E-2</v>
      </c>
      <c r="H81" s="38">
        <v>0.19194695921551799</v>
      </c>
      <c r="J81" s="29">
        <f>(E81*D$67-E$67*D81)/(E81-E$67)</f>
        <v>1.2372496970106077</v>
      </c>
      <c r="K81" s="4">
        <f>E81*E$67/(E81-E$67)</f>
        <v>0.12643923360321621</v>
      </c>
      <c r="L81" s="30">
        <f t="shared" si="9"/>
        <v>0.35558294897705123</v>
      </c>
      <c r="M81" s="3">
        <f>EXP(J81-K81)</f>
        <v>3.0368186277091302</v>
      </c>
      <c r="N81" s="3">
        <f t="shared" ref="N81:N82" si="11">EXP(J81)</f>
        <v>3.4461225381648299</v>
      </c>
      <c r="O81" s="3">
        <f t="shared" ref="O81:Q82" si="12">_xlfn.LOGNORM.INV(O$73, $J81,$L81)</f>
        <v>1.9200818084575368</v>
      </c>
      <c r="P81" s="3">
        <f t="shared" si="12"/>
        <v>3.4461225381648299</v>
      </c>
      <c r="Q81" s="3">
        <f t="shared" si="12"/>
        <v>6.18502841688177</v>
      </c>
      <c r="R81" s="4">
        <f t="shared" si="10"/>
        <v>1.1998163666952462</v>
      </c>
      <c r="S81" s="3">
        <f t="shared" si="10"/>
        <v>0.73442021403588753</v>
      </c>
    </row>
    <row r="82" spans="1:19">
      <c r="C82" s="34">
        <v>0.99</v>
      </c>
      <c r="D82" s="36">
        <v>1.00820903428261</v>
      </c>
      <c r="E82" s="72">
        <v>0.78857180627192802</v>
      </c>
      <c r="F82" s="36">
        <v>0.92182118678997804</v>
      </c>
      <c r="G82" s="72">
        <v>4.5931388190581103E-2</v>
      </c>
      <c r="H82" s="38">
        <v>0.21431775274612699</v>
      </c>
      <c r="J82" s="29">
        <f>(E82*D$67-E$67*D82)/(E82-E$67)</f>
        <v>1.1644431585961768</v>
      </c>
      <c r="K82" s="4">
        <f>E82*E$67/(E82-E$67)</f>
        <v>8.032576409106261E-2</v>
      </c>
      <c r="L82" s="30">
        <f t="shared" si="9"/>
        <v>0.28341800241174275</v>
      </c>
      <c r="M82" s="3">
        <f>EXP(J82-K82)</f>
        <v>2.9568289532452909</v>
      </c>
      <c r="N82" s="3">
        <f t="shared" si="11"/>
        <v>3.204138189545759</v>
      </c>
      <c r="O82" s="3">
        <f t="shared" si="12"/>
        <v>2.0102559039918204</v>
      </c>
      <c r="P82" s="3">
        <f t="shared" si="12"/>
        <v>3.204138189545759</v>
      </c>
      <c r="Q82" s="3">
        <f t="shared" si="12"/>
        <v>5.1070620000762563</v>
      </c>
      <c r="R82" s="4">
        <f t="shared" si="10"/>
        <v>1.1549620356504096</v>
      </c>
      <c r="S82" s="3">
        <f t="shared" si="10"/>
        <v>0.10186233321073539</v>
      </c>
    </row>
    <row r="83" spans="1:19" ht="17" thickBot="1">
      <c r="C83" s="43" t="s">
        <v>61</v>
      </c>
      <c r="D83" s="44">
        <v>1.0007433735106901</v>
      </c>
      <c r="E83" s="45"/>
      <c r="F83" s="45"/>
      <c r="G83" s="74">
        <v>4.8826576119314603E-2</v>
      </c>
      <c r="H83" s="47">
        <v>0.22096736437608699</v>
      </c>
      <c r="J83" s="31">
        <f>D67</f>
        <v>1.1499999999999999</v>
      </c>
      <c r="K83" s="32"/>
      <c r="L83" s="33">
        <f>F67</f>
        <v>0.27</v>
      </c>
      <c r="Q83" s="3"/>
      <c r="R83" s="3"/>
    </row>
    <row r="91" spans="1:19" s="6" customFormat="1">
      <c r="A91" s="6" t="s">
        <v>76</v>
      </c>
    </row>
    <row r="93" spans="1:19">
      <c r="D93" s="7" t="s">
        <v>38</v>
      </c>
      <c r="E93" s="7" t="s">
        <v>37</v>
      </c>
      <c r="F93" s="7" t="s">
        <v>42</v>
      </c>
    </row>
    <row r="94" spans="1:19">
      <c r="B94" t="s">
        <v>54</v>
      </c>
      <c r="D94" s="3">
        <f>D31</f>
        <v>1.07</v>
      </c>
      <c r="E94" s="3">
        <f>E31</f>
        <v>0.28090000000000004</v>
      </c>
      <c r="F94" s="3">
        <f>F31</f>
        <v>0.53</v>
      </c>
    </row>
    <row r="95" spans="1:19">
      <c r="C95" s="7" t="s">
        <v>23</v>
      </c>
      <c r="D95" s="36" t="s">
        <v>39</v>
      </c>
      <c r="E95" s="36" t="s">
        <v>40</v>
      </c>
      <c r="F95" s="36" t="s">
        <v>43</v>
      </c>
    </row>
    <row r="96" spans="1:19">
      <c r="B96" t="s">
        <v>55</v>
      </c>
      <c r="C96">
        <f>C80</f>
        <v>0.9</v>
      </c>
      <c r="D96" s="3">
        <f t="shared" ref="D96:F98" si="13">J80</f>
        <v>1.6614403676994338</v>
      </c>
      <c r="E96" s="3">
        <f t="shared" si="13"/>
        <v>0.44671045893411682</v>
      </c>
      <c r="F96" s="3">
        <f t="shared" si="13"/>
        <v>0.66836401678585067</v>
      </c>
    </row>
    <row r="97" spans="2:14">
      <c r="C97">
        <f>C81</f>
        <v>0.95</v>
      </c>
      <c r="D97" s="3">
        <f t="shared" si="13"/>
        <v>1.2372496970106077</v>
      </c>
      <c r="E97" s="3">
        <f t="shared" si="13"/>
        <v>0.12643923360321621</v>
      </c>
      <c r="F97" s="3">
        <f t="shared" si="13"/>
        <v>0.35558294897705123</v>
      </c>
    </row>
    <row r="98" spans="2:14">
      <c r="C98">
        <f>C82</f>
        <v>0.99</v>
      </c>
      <c r="D98" s="3">
        <f t="shared" si="13"/>
        <v>1.1644431585961768</v>
      </c>
      <c r="E98" s="3">
        <f t="shared" si="13"/>
        <v>8.032576409106261E-2</v>
      </c>
      <c r="F98" s="3">
        <f t="shared" si="13"/>
        <v>0.28341800241174275</v>
      </c>
    </row>
    <row r="100" spans="2:14">
      <c r="B100" t="s">
        <v>60</v>
      </c>
    </row>
    <row r="101" spans="2:14">
      <c r="B101" t="s">
        <v>58</v>
      </c>
    </row>
    <row r="102" spans="2:14">
      <c r="B102" t="s">
        <v>59</v>
      </c>
    </row>
    <row r="103" spans="2:14">
      <c r="B103" t="s">
        <v>75</v>
      </c>
    </row>
    <row r="104" spans="2:14">
      <c r="B104" t="s">
        <v>70</v>
      </c>
    </row>
    <row r="107" spans="2:14">
      <c r="C107" s="14"/>
      <c r="D107" s="81" t="s">
        <v>71</v>
      </c>
      <c r="E107" s="82"/>
      <c r="F107" s="81" t="s">
        <v>72</v>
      </c>
      <c r="G107" s="82"/>
      <c r="H107" s="81" t="s">
        <v>73</v>
      </c>
      <c r="I107" s="83"/>
      <c r="J107" s="83"/>
      <c r="K107" s="11"/>
      <c r="L107" s="7"/>
      <c r="M107" s="7"/>
      <c r="N107" s="7"/>
    </row>
    <row r="108" spans="2:14">
      <c r="C108" s="15" t="s">
        <v>56</v>
      </c>
      <c r="D108" s="9" t="s">
        <v>39</v>
      </c>
      <c r="E108" s="10" t="s">
        <v>40</v>
      </c>
      <c r="F108" s="9" t="s">
        <v>38</v>
      </c>
      <c r="G108" s="10" t="s">
        <v>37</v>
      </c>
      <c r="H108" s="9" t="s">
        <v>41</v>
      </c>
      <c r="I108" s="7"/>
      <c r="J108" s="7" t="s">
        <v>47</v>
      </c>
      <c r="K108" s="10" t="s">
        <v>33</v>
      </c>
      <c r="L108" s="7" t="s">
        <v>22</v>
      </c>
      <c r="M108" s="7" t="s">
        <v>34</v>
      </c>
      <c r="N108" s="7"/>
    </row>
    <row r="109" spans="2:14">
      <c r="C109" s="16">
        <f>C96</f>
        <v>0.9</v>
      </c>
      <c r="D109" s="19">
        <f>D94</f>
        <v>1.07</v>
      </c>
      <c r="E109" s="20">
        <f>E94</f>
        <v>0.28090000000000004</v>
      </c>
      <c r="F109" s="19">
        <f>D96</f>
        <v>1.6614403676994338</v>
      </c>
      <c r="G109" s="20">
        <f>E96</f>
        <v>0.44671045893411682</v>
      </c>
      <c r="H109" s="12"/>
      <c r="J109" s="4"/>
      <c r="K109" s="13" t="s">
        <v>57</v>
      </c>
      <c r="L109" s="8"/>
      <c r="M109" s="8"/>
      <c r="N109" s="8"/>
    </row>
    <row r="110" spans="2:14">
      <c r="B110" t="s">
        <v>74</v>
      </c>
      <c r="C110" s="16">
        <f>C97</f>
        <v>0.95</v>
      </c>
      <c r="D110" s="19">
        <f>D109</f>
        <v>1.07</v>
      </c>
      <c r="E110" s="20">
        <f>E109</f>
        <v>0.28090000000000004</v>
      </c>
      <c r="F110" s="19">
        <f t="shared" ref="F110:G110" si="14">D97</f>
        <v>1.2372496970106077</v>
      </c>
      <c r="G110" s="20">
        <f t="shared" si="14"/>
        <v>0.12643923360321621</v>
      </c>
      <c r="H110" s="19">
        <f>(E110*F110-G110*D110)/(E110-G110)</f>
        <v>1.3741577546598134</v>
      </c>
      <c r="J110" s="3">
        <f t="shared" ref="J110:J111" si="15">(E110*G110)/(E110-G110)</f>
        <v>0.22994046674549562</v>
      </c>
      <c r="K110" s="20">
        <f>SQRT(J110)</f>
        <v>0.4795210806059475</v>
      </c>
      <c r="L110" s="3">
        <f>EXP(H110)</f>
        <v>3.9517469804075116</v>
      </c>
      <c r="M110" s="3">
        <f>EXP(H110-J110)</f>
        <v>3.1399826923493492</v>
      </c>
      <c r="N110" s="3"/>
    </row>
    <row r="111" spans="2:14">
      <c r="C111" s="17">
        <f>C98</f>
        <v>0.99</v>
      </c>
      <c r="D111" s="76">
        <f>D110</f>
        <v>1.07</v>
      </c>
      <c r="E111" s="77">
        <f>E110</f>
        <v>0.28090000000000004</v>
      </c>
      <c r="F111" s="76">
        <f t="shared" ref="F111:G111" si="16">D98</f>
        <v>1.1644431585961768</v>
      </c>
      <c r="G111" s="77">
        <f t="shared" si="16"/>
        <v>8.032576409106261E-2</v>
      </c>
      <c r="H111" s="76">
        <f>(E111*F111-G111*D111)/(E111-G111)</f>
        <v>1.2022656577971984</v>
      </c>
      <c r="I111" s="78"/>
      <c r="J111" s="78">
        <f t="shared" si="15"/>
        <v>0.11249454363332854</v>
      </c>
      <c r="K111" s="77">
        <f>SQRT(J111)</f>
        <v>0.33540206265514905</v>
      </c>
      <c r="L111" s="4"/>
      <c r="M111" s="4"/>
      <c r="N111" s="4"/>
    </row>
  </sheetData>
  <mergeCells count="8">
    <mergeCell ref="D6:E6"/>
    <mergeCell ref="F6:G6"/>
    <mergeCell ref="F56:H56"/>
    <mergeCell ref="O72:Q72"/>
    <mergeCell ref="O36:Q36"/>
    <mergeCell ref="D107:E107"/>
    <mergeCell ref="F107:G107"/>
    <mergeCell ref="H107:J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Vasnev</dc:creator>
  <cp:lastModifiedBy>Andrey Vasnev</cp:lastModifiedBy>
  <dcterms:created xsi:type="dcterms:W3CDTF">2023-08-29T00:25:44Z</dcterms:created>
  <dcterms:modified xsi:type="dcterms:W3CDTF">2025-06-12T03:44:30Z</dcterms:modified>
</cp:coreProperties>
</file>