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Supuestos" state="visible" r:id="rId5"/>
    <sheet sheetId="3" name="WACC" state="visible" r:id="rId6"/>
    <sheet sheetId="4" name="FCFF y valuación" state="visible" r:id="rId7"/>
    <sheet sheetId="5" name="Transacciones SDC" state="visible" r:id="rId8"/>
    <sheet sheetId="6" name="Combinada" state="visible" r:id="rId9"/>
    <sheet sheetId="7" name="01 Resumen ejecutivo" state="visible" r:id="rId10"/>
    <sheet sheetId="8" name="02 Contexto, objetivo y alcance" state="visible" r:id="rId11"/>
    <sheet sheetId="9" name="03 Variables, fuentes y fechas" state="visible" r:id="rId12"/>
    <sheet sheetId="10" name="04 Inflación y escenarios macro" state="visible" r:id="rId13"/>
    <sheet sheetId="11" name="05 Beta y costo de la deuda" state="visible" r:id="rId14"/>
    <sheet sheetId="12" name="06 CAPM y WACC" state="visible" r:id="rId15"/>
    <sheet sheetId="13" name="07 Proyecciones operativas y FC" state="visible" r:id="rId16"/>
    <sheet sheetId="14" name="08 Valor terminal" state="visible" r:id="rId17"/>
    <sheet sheetId="15" name="09 Del Enterprise Value al prec" state="visible" r:id="rId18"/>
    <sheet sheetId="16" name="10 Trading Comps" state="visible" r:id="rId19"/>
    <sheet sheetId="17" name="11 Precedent Transactions (LSEG" state="visible" r:id="rId20"/>
    <sheet sheetId="18" name="12 Contraste con S&amp;P Capital IQ" state="visible" r:id="rId21"/>
    <sheet sheetId="19" name="13 Valuación combinada y recome" state="visible" r:id="rId22"/>
    <sheet sheetId="20" name="14 Escenarios y sensibilidad" state="visible" r:id="rId23"/>
    <sheet sheetId="21" name="15 Validaciones y auditoría del" state="visible" r:id="rId24"/>
  </sheets>
  <calcPr calcId="171027" fullCalcOnLoad="1"/>
</workbook>
</file>

<file path=xl/sharedStrings.xml><?xml version="1.0" encoding="utf-8"?>
<sst xmlns="http://schemas.openxmlformats.org/spreadsheetml/2006/main" count="2467" uniqueCount="1316">
  <si>
    <t>Valuación de Organización Soriana, S.A.B. de C.V.: DCF, múltiplos y transacciones precedentes</t>
  </si>
  <si>
    <t>Tecnológico de Monterrey · Valuación de Empresas · 2026 · generado el 19 de octubre de 2026</t>
  </si>
  <si>
    <t>Empresa</t>
  </si>
  <si>
    <t>Organización Soriana, S.A.B. de C.V. (SORIANA B · BMV)</t>
  </si>
  <si>
    <t>Escenario</t>
  </si>
  <si>
    <t>Caso base del Excel (inflación Base)</t>
  </si>
  <si>
    <t>Precio de mercado</t>
  </si>
  <si>
    <t>Cierre 25-sep-2026</t>
  </si>
  <si>
    <t>Fecha de valuación</t>
  </si>
  <si>
    <t>01-oct-2026</t>
  </si>
  <si>
    <t>Equipo</t>
  </si>
  <si>
    <t>Adrián Fermín Rodríguez Valades</t>
  </si>
  <si>
    <t>A01614820</t>
  </si>
  <si>
    <t>Saúl González Loredo</t>
  </si>
  <si>
    <t>A016113349</t>
  </si>
  <si>
    <t>Miguel Emilio Pérez García</t>
  </si>
  <si>
    <t>A01613516</t>
  </si>
  <si>
    <t>Mauricio Fernandez Juarez</t>
  </si>
  <si>
    <t>A01614732</t>
  </si>
  <si>
    <t>Francisco Aarón Ponce Flores</t>
  </si>
  <si>
    <t>A01614662</t>
  </si>
  <si>
    <t>Dato clave</t>
  </si>
  <si>
    <t>Valor</t>
  </si>
  <si>
    <t>Precio de mercado de referencia</t>
  </si>
  <si>
    <t>$33.48 (cierre 25-sep-2026)</t>
  </si>
  <si>
    <t>Valor DCF por acción</t>
  </si>
  <si>
    <t>$38.34 (+14.5% frente al mercado)</t>
  </si>
  <si>
    <t>Rango DCF por escenario de inflación</t>
  </si>
  <si>
    <t>$37.93 a $39.14 (Cautela, Base, Alcista)</t>
  </si>
  <si>
    <t>Trading Comps</t>
  </si>
  <si>
    <t>$33.49 (7 comparable(s), media)</t>
  </si>
  <si>
    <t>Precedent Transactions LSEG/SDC (referencia)</t>
  </si>
  <si>
    <t>$23.74 (mediana EV/EBITDA, 8 operaciones; peso 0%)</t>
  </si>
  <si>
    <t>Precio objetivo combinado</t>
  </si>
  <si>
    <t>$35.92 (50% DCF · 50% Trading Comps · 0% Transacciones)</t>
  </si>
  <si>
    <t>Recomendación</t>
  </si>
  <si>
    <t>MANTENER (potencial +7.3% frente a $33.48)</t>
  </si>
  <si>
    <t>WACC / Ke / g</t>
  </si>
  <si>
    <t>9.56% / 10.40% / 3.50%</t>
  </si>
  <si>
    <t>Beta desapalancada (βU) / apalancada (βL)</t>
  </si>
  <si>
    <t>0.1705 / 0.2097</t>
  </si>
  <si>
    <t>Enterprise Value (cierre de 2025 / 2T26)</t>
  </si>
  <si>
    <t>79,383 / 84,152 mdp</t>
  </si>
  <si>
    <t>Equity Value a la fecha de valuación</t>
  </si>
  <si>
    <t>69,012 mdp</t>
  </si>
  <si>
    <t>Peso del valor terminal en el EV</t>
  </si>
  <si>
    <t>70.3%</t>
  </si>
  <si>
    <t>Hojas con fórmulas: Supuestos, WACC, FCFF y valuación, Transacciones SDC y Combinada. Las demás hojas reproducen las tablas numeradas del reporte técnico.</t>
  </si>
  <si>
    <t>Supuestos activos (insumos de las hojas con fórmulas)</t>
  </si>
  <si>
    <t>Valores en azul: cambiarlos recalcula WACC, FCFF y valuación, transacciones y combinada.</t>
  </si>
  <si>
    <t>Supuesto</t>
  </si>
  <si>
    <t>Unidad</t>
  </si>
  <si>
    <t>Fuente</t>
  </si>
  <si>
    <t>Tasa libre de riesgo (Rf)</t>
  </si>
  <si>
    <t>fracción</t>
  </si>
  <si>
    <t>Bono M 10 años</t>
  </si>
  <si>
    <t>Prima de riesgo de mercado</t>
  </si>
  <si>
    <t>Hoja WACC</t>
  </si>
  <si>
    <t>Beta desapalancada (βU)</t>
  </si>
  <si>
    <t>x</t>
  </si>
  <si>
    <t>Regresión semanal (βL 0.2178) desapalancada</t>
  </si>
  <si>
    <t>Deuda total para el WACC</t>
  </si>
  <si>
    <t>mdp</t>
  </si>
  <si>
    <t>Deuda + arrendamientos</t>
  </si>
  <si>
    <t>Tasa del escudo fiscal</t>
  </si>
  <si>
    <t>Kd antes de impuestos</t>
  </si>
  <si>
    <t>Hoja Beta y Kd</t>
  </si>
  <si>
    <t>Crecimiento perpetuo (g)</t>
  </si>
  <si>
    <t>Hoja Proyección Final</t>
  </si>
  <si>
    <t>Múltiplo de salida EV/EBITDA</t>
  </si>
  <si>
    <t>Mediana comparables −10%</t>
  </si>
  <si>
    <t>Peso de Gordon</t>
  </si>
  <si>
    <t>Ponderación del valor terminal</t>
  </si>
  <si>
    <t>Deuda bursátil y bancaria al cierre</t>
  </si>
  <si>
    <t>Puente al cierre</t>
  </si>
  <si>
    <t>Arrendamientos al cierre</t>
  </si>
  <si>
    <t>Efectivo al cierre</t>
  </si>
  <si>
    <t>t1: años del cierre al balance intermedio</t>
  </si>
  <si>
    <t>años</t>
  </si>
  <si>
    <t>YEARFRAC base 0</t>
  </si>
  <si>
    <t>Ajuste FCF del periodo intermedio</t>
  </si>
  <si>
    <t>Se suma al EV capitalizado</t>
  </si>
  <si>
    <t>Deuda al balance intermedio</t>
  </si>
  <si>
    <t>Balance 2T26</t>
  </si>
  <si>
    <t>Arrendamientos al balance intermedio</t>
  </si>
  <si>
    <t>Efectivo al balance intermedio</t>
  </si>
  <si>
    <t>t2: años a la fecha de valuación</t>
  </si>
  <si>
    <t>Acciones en circulación</t>
  </si>
  <si>
    <t>millones</t>
  </si>
  <si>
    <t>MXN</t>
  </si>
  <si>
    <t>EBITDA LTM (para transacciones)</t>
  </si>
  <si>
    <t>Hoja Datos (LTM 2T26)</t>
  </si>
  <si>
    <t>Ajuste EV → capital (caja − deuda − arrend. − minoritarios − preferentes)</t>
  </si>
  <si>
    <t>Hoja Datos</t>
  </si>
  <si>
    <t>Acciones (múltiplos)</t>
  </si>
  <si>
    <t>Umbral de compra</t>
  </si>
  <si>
    <t>Regla de recomendación</t>
  </si>
  <si>
    <t>Umbral de venta</t>
  </si>
  <si>
    <t>WACC con fórmulas (última iteración, equity del DCF)</t>
  </si>
  <si>
    <t>El equity E es el del DCF en la última iteración del motor; el resto se calcula aquí.</t>
  </si>
  <si>
    <t>Concepto</t>
  </si>
  <si>
    <t>Fórmula</t>
  </si>
  <si>
    <t>App</t>
  </si>
  <si>
    <t>Equity E (DCF, última iteración)</t>
  </si>
  <si>
    <t>dato del motor</t>
  </si>
  <si>
    <t>D / E</t>
  </si>
  <si>
    <t>D ÷ E</t>
  </si>
  <si>
    <t>βL = βU × [1 + (1 − t) × D/E]</t>
  </si>
  <si>
    <t>Hamada</t>
  </si>
  <si>
    <t>Ke = Rf + βL × PRM</t>
  </si>
  <si>
    <t>CAPM</t>
  </si>
  <si>
    <t>Kd después de impuestos</t>
  </si>
  <si>
    <t>Kd × (1 − t)</t>
  </si>
  <si>
    <t>E / (D + E)</t>
  </si>
  <si>
    <t>peso del capital</t>
  </si>
  <si>
    <t>D / (D + E)</t>
  </si>
  <si>
    <t>peso de la deuda</t>
  </si>
  <si>
    <t>WACC</t>
  </si>
  <si>
    <t>E/V × Ke + D/V × Kd(1−t)</t>
  </si>
  <si>
    <t>Modo activo del WACC en el modelo</t>
  </si>
  <si>
    <t>iterado</t>
  </si>
  <si>
    <t>WACC usado en el DCF</t>
  </si>
  <si>
    <t>Ke usado en el DCF</t>
  </si>
  <si>
    <t>Iteraciones del motor</t>
  </si>
  <si>
    <t>Iteración</t>
  </si>
  <si>
    <t>WACC entrada</t>
  </si>
  <si>
    <t>Equity DCF</t>
  </si>
  <si>
    <t>D/E</t>
  </si>
  <si>
    <t>Beta</t>
  </si>
  <si>
    <t>Ke</t>
  </si>
  <si>
    <t>WACC salida</t>
  </si>
  <si>
    <t>Proyección FCFF y valuación con fórmulas</t>
  </si>
  <si>
    <t>Fondo azul claro: proyección por drivers del motor (con la inflación del escenario). Lo demás son fórmulas que leen Supuestos y WACC.</t>
  </si>
  <si>
    <t>2026E</t>
  </si>
  <si>
    <t>2027E</t>
  </si>
  <si>
    <t>2028E</t>
  </si>
  <si>
    <t>2029E</t>
  </si>
  <si>
    <t>2030E</t>
  </si>
  <si>
    <t>Ventas</t>
  </si>
  <si>
    <t>Utilidad de operación (EBIT)</t>
  </si>
  <si>
    <t>Tasa de impuestos sobre EBIT</t>
  </si>
  <si>
    <t>(−) Impuestos sobre EBIT</t>
  </si>
  <si>
    <t>NOPAT</t>
  </si>
  <si>
    <t>(+) Depreciación y amortización</t>
  </si>
  <si>
    <t>(−) Capex</t>
  </si>
  <si>
    <t>(−) Inversión en capital de trabajo</t>
  </si>
  <si>
    <t>FCFF</t>
  </si>
  <si>
    <t>Periodo n</t>
  </si>
  <si>
    <t>Factor de descuento 1/(1+WACC)^n</t>
  </si>
  <si>
    <t>Valor presente del FCFF</t>
  </si>
  <si>
    <t>EBITDA</t>
  </si>
  <si>
    <t>Valuación</t>
  </si>
  <si>
    <t>Suma VP de los FCFF</t>
  </si>
  <si>
    <t>FCF normalizado 2030E (capex = D&amp;A): NOPAT − ΔNWC</t>
  </si>
  <si>
    <t>Valor terminal Gordon = FCF × (1+g)/(WACC − g)</t>
  </si>
  <si>
    <t>VP valor terminal Gordon</t>
  </si>
  <si>
    <t>EV Gordon</t>
  </si>
  <si>
    <t>Valor terminal múltiplo = EBITDA × múltiplo</t>
  </si>
  <si>
    <t>VP valor terminal múltiplo</t>
  </si>
  <si>
    <t>EV múltiplo</t>
  </si>
  <si>
    <t>EV ponderado al cierre</t>
  </si>
  <si>
    <t>EV capitalizado = EV × (1+WACC)^t1</t>
  </si>
  <si>
    <t>EV al balance intermedio (+ ajuste FCF del periodo)</t>
  </si>
  <si>
    <t>Equity al balance intermedio = EV − deuda − arrendamientos + efectivo</t>
  </si>
  <si>
    <t>Equity a la fecha de valuación = × (1+Ke)^t2</t>
  </si>
  <si>
    <t>Valor DCF por acción (MXN)</t>
  </si>
  <si>
    <t>Precio de mercado (MXN)</t>
  </si>
  <si>
    <t>Potencial (%)</t>
  </si>
  <si>
    <t>Valor DCF por acción calculado por la app</t>
  </si>
  <si>
    <t>Diferencia fórmula − app (MXN)</t>
  </si>
  <si>
    <t>Nota: con WACC iterado, cambiar un supuesto aquí no repite la iteración (el equity del DCF queda fijo en la hoja WACC); la app sí la repite.</t>
  </si>
  <si>
    <t>Precedent Transactions LSEG/SDC: muestra, criterios y estadísticos con fórmulas</t>
  </si>
  <si>
    <t>LSEG/SDC (Refinitiv) · GridExport_October_19_2026_9_29_57.pdf · 2026-10-19 · tipo de cambio 18.48 MXN/USD (Implícito en S&amp;P Capital IQ: capitalización 59,580 mdp / 3,223.7 USD mm al cierre del 7-oct-2026 (reporte comparativo, p. 1 y 25). Equivalente MXN solo informativo: los múltiplos no requieren conversión.)</t>
  </si>
  <si>
    <t>Objetivo</t>
  </si>
  <si>
    <t>Deal #</t>
  </si>
  <si>
    <t>Anuncio</t>
  </si>
  <si>
    <t>País objetivo</t>
  </si>
  <si>
    <t>Comprador</t>
  </si>
  <si>
    <t>País comprador</t>
  </si>
  <si>
    <t>Subindustria</t>
  </si>
  <si>
    <t>Valor operación (USD mm)</t>
  </si>
  <si>
    <t>EV (USD mm)</t>
  </si>
  <si>
    <t>EV (MXN mm)</t>
  </si>
  <si>
    <t>EV/EBITDA</t>
  </si>
  <si>
    <t>EV/Ventas</t>
  </si>
  <si>
    <t>P/E</t>
  </si>
  <si>
    <t># múltiplos</t>
  </si>
  <si>
    <t>Ventana</t>
  </si>
  <si>
    <t>≥2 múltiplos</t>
  </si>
  <si>
    <t>Autoservicio</t>
  </si>
  <si>
    <t>Recompra</t>
  </si>
  <si>
    <t>Juicio</t>
  </si>
  <si>
    <t>Incluir (1/0)</t>
  </si>
  <si>
    <t>EV/EBITDA usado</t>
  </si>
  <si>
    <t>Motivo</t>
  </si>
  <si>
    <t>Almacenes Exito SA</t>
  </si>
  <si>
    <t>4144889040</t>
  </si>
  <si>
    <t>2023-10-16</t>
  </si>
  <si>
    <t>Colombia</t>
  </si>
  <si>
    <t>Cama Commercial Group Corp</t>
  </si>
  <si>
    <t>Panama</t>
  </si>
  <si>
    <t>Discount and Department Store Retailing</t>
  </si>
  <si>
    <t>NA</t>
  </si>
  <si>
    <t>Sí</t>
  </si>
  <si>
    <t>No</t>
  </si>
  <si>
    <t>Elegible</t>
  </si>
  <si>
    <t>OPA por el control de Éxito (hiper y supermercados); vendedor grupo Casino. Comprador: Cama Commercial Group (vehículo de Grupo Calleja / Super Selectos). SDC clasifica al objetivo como "Discount and Department Store Retailing". Misma operación que la muestra CIQ.</t>
  </si>
  <si>
    <t>Profi Rom Food Srl</t>
  </si>
  <si>
    <t>4150545040</t>
  </si>
  <si>
    <t>2023-10-30</t>
  </si>
  <si>
    <t>Romania</t>
  </si>
  <si>
    <t>Koninklijke Ahold Delhaize NV</t>
  </si>
  <si>
    <t>Netherlands</t>
  </si>
  <si>
    <t>Food &amp; Beverage Retailing</t>
  </si>
  <si>
    <t>Compra del 100% de la cadena de supermercados Profi (Rumania). Múltiplo alto por crecimiento y sinergias: atípico estadístico (ver sección 3).</t>
  </si>
  <si>
    <t>Lawson Inc</t>
  </si>
  <si>
    <t>4191742040</t>
  </si>
  <si>
    <t>2024-02-06</t>
  </si>
  <si>
    <t>Japan</t>
  </si>
  <si>
    <t>KDDI CORP</t>
  </si>
  <si>
    <t>OPA de KDDI; control conjunto 50/50 con Mitsubishi. Tiendas de conveniencia (formato de proximidad): comparabilidad con reserva.</t>
  </si>
  <si>
    <t>KANSAI FOOD MARKET LTD</t>
  </si>
  <si>
    <t>4234985040</t>
  </si>
  <si>
    <t>2024-05-15</t>
  </si>
  <si>
    <t>H2O RETAILING CORP</t>
  </si>
  <si>
    <t>OPA de H2O Retailing para consolidar el control del supermercado.</t>
  </si>
  <si>
    <t>Yonghui Superstores Co Ltd</t>
  </si>
  <si>
    <t>4291087040</t>
  </si>
  <si>
    <t>2024-09-23</t>
  </si>
  <si>
    <t>China (Mainland)</t>
  </si>
  <si>
    <t>Guangdong Juncai International Trading Co Ltd</t>
  </si>
  <si>
    <t>Compra de ~29% por Guangdong Juncai (filial de Miniso); queda como mayor accionista. Participación estratégica relevante, no control pleno.</t>
  </si>
  <si>
    <t>Sun Art Retail Group Ltd</t>
  </si>
  <si>
    <t>4338758040</t>
  </si>
  <si>
    <t>2025-01-01</t>
  </si>
  <si>
    <t>Hong Kong</t>
  </si>
  <si>
    <t>Paragon Shine Ltd</t>
  </si>
  <si>
    <t>Compra de control a Alibaba con descuento (prima 1 día −44.4%): operación en dificultad; se conserva y se cuantifica su efecto en la sección 4.</t>
  </si>
  <si>
    <t>METRO AG</t>
  </si>
  <si>
    <t>4353024040</t>
  </si>
  <si>
    <t>2025-02-05</t>
  </si>
  <si>
    <t>Germany</t>
  </si>
  <si>
    <t>EP Global Commerce GmbH</t>
  </si>
  <si>
    <t>Oferta de EP Global Commerce (prima 1 día +38.8%). Mayoreo de alimentos (cash &amp; carry), comparable con City Club.</t>
  </si>
  <si>
    <t>Seiyu Co Ltd</t>
  </si>
  <si>
    <t>4340542040</t>
  </si>
  <si>
    <t>2025-03-05</t>
  </si>
  <si>
    <t>Trial Holdings Inc</t>
  </si>
  <si>
    <t>Compra de control por Trial Holdings. Sin EV/EBITDA: solo aporta EV/Ventas (no usado en el precio). P/E 3.88x distorsionado.</t>
  </si>
  <si>
    <t>Chengdu Hongqi Chain Co Ltd</t>
  </si>
  <si>
    <t>4172416040</t>
  </si>
  <si>
    <t>2023-12-21</t>
  </si>
  <si>
    <t>Sichuan Shangtou Investment Co Ltd</t>
  </si>
  <si>
    <t>CORRECCIÓN: el objetivo es Chengdu Hongqi Chain (cadena de conveniencia y supermercados de Sichuan), no "Chongqing Department Store". Sichuan Shangtou Investment pasa a ser el accionista de control. La pantalla no reporta el % adquirido: decisión del analista con base en el anuncio.</t>
  </si>
  <si>
    <t>Seven &amp; i Holdings Co Ltd</t>
  </si>
  <si>
    <t>4163818040</t>
  </si>
  <si>
    <t>2023-11-30</t>
  </si>
  <si>
    <t>No elegible</t>
  </si>
  <si>
    <t>Recompra propia: no hay cambio de control.</t>
  </si>
  <si>
    <t>Carrefour SA</t>
  </si>
  <si>
    <t>4220226040</t>
  </si>
  <si>
    <t>2024-03-26</t>
  </si>
  <si>
    <t>France</t>
  </si>
  <si>
    <t>4382315040</t>
  </si>
  <si>
    <t>2025-04-09</t>
  </si>
  <si>
    <t>J Sainsbury PLC</t>
  </si>
  <si>
    <t>4488172040</t>
  </si>
  <si>
    <t>2025-11-07</t>
  </si>
  <si>
    <t>United Kingdom</t>
  </si>
  <si>
    <t>YAOKO Co Ltd</t>
  </si>
  <si>
    <t>4343070040</t>
  </si>
  <si>
    <t>2025-01-14</t>
  </si>
  <si>
    <t>Recompra propia de YAOKO (supermercados, Japón): no hay cambio de control.</t>
  </si>
  <si>
    <t>Magnit PJSC</t>
  </si>
  <si>
    <t>4143788040</t>
  </si>
  <si>
    <t>2023-10-10</t>
  </si>
  <si>
    <t>Russia</t>
  </si>
  <si>
    <t>Recompra propia en un mercado con sanciones (Rusia).</t>
  </si>
  <si>
    <t>Gorodskoi Supermarket OOO</t>
  </si>
  <si>
    <t>4391691040</t>
  </si>
  <si>
    <t>2025-04-30</t>
  </si>
  <si>
    <t>Tander AO</t>
  </si>
  <si>
    <t>Rusia: valuaciones distorsionadas por sanciones; además sin EV/EBITDA.</t>
  </si>
  <si>
    <t>Better Life Commercial Chain Share Co Ltd</t>
  </si>
  <si>
    <t>4228856040</t>
  </si>
  <si>
    <t>2024-04-09</t>
  </si>
  <si>
    <t>Investor Group</t>
  </si>
  <si>
    <t>Better Life Commercial Chain (Bubugao, supermercados de Hunan) en reestructura judicial: EV/EBITDA 46.0x y EV/Ventas 5.6x no representan una adquisición en marcha.</t>
  </si>
  <si>
    <t>Wincommerce General Commercial Services JSC</t>
  </si>
  <si>
    <t>4292215040</t>
  </si>
  <si>
    <t>2024-09-04</t>
  </si>
  <si>
    <t>Vietnam</t>
  </si>
  <si>
    <t>Masan Consumer Holdings Co Ltd</t>
  </si>
  <si>
    <t>Wincommerce (WinMart, Vietnam) adquirida por otra empresa del grupo Masan: reorganización intragrupo; EV/EBITDA 323.1x por EBITDA cercano a cero.</t>
  </si>
  <si>
    <t>Prosol Gestion SAS</t>
  </si>
  <si>
    <t>4467353040</t>
  </si>
  <si>
    <t>2025-12-16</t>
  </si>
  <si>
    <t>Apollo Global Management Inc</t>
  </si>
  <si>
    <t>United States</t>
  </si>
  <si>
    <t>Prosol (Grand Frais, alimentos frescos) adquirida por Apollo. Sin EV/EBITDA y EV/Ventas 44.5x incongruente con un minorista de alimentos: dato no confiable.</t>
  </si>
  <si>
    <t>Inageya Co Ltd</t>
  </si>
  <si>
    <t>4069894040</t>
  </si>
  <si>
    <t>2023-04-25</t>
  </si>
  <si>
    <t>AEON CO LTD</t>
  </si>
  <si>
    <t>Fuera de la ventana de 3 años.</t>
  </si>
  <si>
    <t>Casino Guichard-Perrachon SA</t>
  </si>
  <si>
    <t>4069904040</t>
  </si>
  <si>
    <t>2023-04-24</t>
  </si>
  <si>
    <t>Czech Republic</t>
  </si>
  <si>
    <t>Fuera de la ventana; reestructura de deuda.</t>
  </si>
  <si>
    <t>Dia Portugal Supermercados SA</t>
  </si>
  <si>
    <t>4115751040</t>
  </si>
  <si>
    <t>2023-08-03</t>
  </si>
  <si>
    <t>Portugal</t>
  </si>
  <si>
    <t>Auchan Retail Portugal Sa</t>
  </si>
  <si>
    <t>Fuera de la ventana; EBITDA deprimido (46.8x).</t>
  </si>
  <si>
    <t>Rimi Baltic AB</t>
  </si>
  <si>
    <t>4364904040</t>
  </si>
  <si>
    <t>Latvia</t>
  </si>
  <si>
    <t>Salling Group A/S</t>
  </si>
  <si>
    <t>Denmark</t>
  </si>
  <si>
    <t>Solo 1 múltiplo disponible.</t>
  </si>
  <si>
    <t>Estadísticos de EV/EBITDA (solo operaciones incluidas con dato; los NA no cuentan)</t>
  </si>
  <si>
    <t>Estadístico</t>
  </si>
  <si>
    <t>Precio implícito (MXN)</t>
  </si>
  <si>
    <t>App (MXN)</t>
  </si>
  <si>
    <t>Mínimo</t>
  </si>
  <si>
    <t>Percentil 25</t>
  </si>
  <si>
    <t>Media</t>
  </si>
  <si>
    <t>Mediana</t>
  </si>
  <si>
    <t>Percentil 75</t>
  </si>
  <si>
    <t>Máximo</t>
  </si>
  <si>
    <t>n</t>
  </si>
  <si>
    <t>Precio de transacciones (estadístico oficial: median)</t>
  </si>
  <si>
    <t>Valuación combinada y recomendación con fórmulas</t>
  </si>
  <si>
    <t>Pesos en azul: editables. El precio objetivo y la recomendación se recalculan.</t>
  </si>
  <si>
    <t>Método</t>
  </si>
  <si>
    <t>Precio por acción</t>
  </si>
  <si>
    <t>Peso</t>
  </si>
  <si>
    <t>Contribución</t>
  </si>
  <si>
    <t>Origen</t>
  </si>
  <si>
    <t>DCF</t>
  </si>
  <si>
    <t>Fórmula (hoja FCFF y valuación)</t>
  </si>
  <si>
    <t>Motor ValuFlow (Trading Comps, media)</t>
  </si>
  <si>
    <t>Precedent Transactions</t>
  </si>
  <si>
    <t>Fórmula (hoja Transacciones SDC)</t>
  </si>
  <si>
    <t>Potencial</t>
  </si>
  <si>
    <t>Precio objetivo calculado por la app</t>
  </si>
  <si>
    <t>Recomendación de la app</t>
  </si>
  <si>
    <t>MANTENER</t>
  </si>
  <si>
    <t>Precio objetivo = valuación combinada; COMPRAR si el potencial supera +10%, VENDER si es menor que −10% (hoja Transacciones SDC §7).</t>
  </si>
  <si>
    <t>1. Resumen ejecutivo</t>
  </si>
  <si>
    <t>Tablas numeradas como en el reporte técnico PDF. Caso base del Excel (inflación Base).</t>
  </si>
  <si>
    <t>Tabla 1. Datos clave de la valuación</t>
  </si>
  <si>
    <t>Fuente: Motor ValuFlow con el Excel PRO auditado (Caso base del Excel (inflación Base)).</t>
  </si>
  <si>
    <t>2. Contexto, objetivo y alcance</t>
  </si>
  <si>
    <t>Tabla 2. Fechas del modelo</t>
  </si>
  <si>
    <t>Fecha</t>
  </si>
  <si>
    <t>Estados financieros base</t>
  </si>
  <si>
    <t>31-dic-2025</t>
  </si>
  <si>
    <t>Balance intermedio</t>
  </si>
  <si>
    <t>30-jun-2026 (2T26)</t>
  </si>
  <si>
    <t>25-sep-2026</t>
  </si>
  <si>
    <t>Siguiente reporte trimestral</t>
  </si>
  <si>
    <t>23-oct-2026</t>
  </si>
  <si>
    <t>Fuente: Excel PRO auditado · hoja Fuentes</t>
  </si>
  <si>
    <t>3. Variables, fuentes y fechas</t>
  </si>
  <si>
    <t>Tabla 3. Registro de insumos y fuentes</t>
  </si>
  <si>
    <t>Dónde se usa</t>
  </si>
  <si>
    <t>Tipo</t>
  </si>
  <si>
    <t>Inflación INPC quincenal</t>
  </si>
  <si>
    <t>Inflación!A60:B172</t>
  </si>
  <si>
    <t>113 obs.</t>
  </si>
  <si>
    <t>07-oct-2026</t>
  </si>
  <si>
    <t>% anual</t>
  </si>
  <si>
    <t>Observado</t>
  </si>
  <si>
    <t>Banco de México, serie SP74833 (vía MODELO DE INFLACION EN LA VALUACION DE EMPRESAS.xlsx)</t>
  </si>
  <si>
    <t>Escenario Base 3.51%</t>
  </si>
  <si>
    <t>Inflación!B48</t>
  </si>
  <si>
    <t>Modelo</t>
  </si>
  <si>
    <t>Modelo exponencial trimestral de clase (calculado en Inflación!33)</t>
  </si>
  <si>
    <t>Escenario Cautela 3.26%</t>
  </si>
  <si>
    <t>Inflación!B47</t>
  </si>
  <si>
    <t>Escenario derivado de la tendencia larga: Dossier de Soriana / Avances; construcción de clase más cercana Inflación!G36 (3.268%)</t>
  </si>
  <si>
    <t>Escenario Alcista 4.00%</t>
  </si>
  <si>
    <t>Inflación!B49</t>
  </si>
  <si>
    <t>—</t>
  </si>
  <si>
    <t>Supuesto de escenario de Avances de valuación intrínseca (no es pronóstico estadístico)</t>
  </si>
  <si>
    <t>Trayectoria Citi 2026–2030 — Referencia</t>
  </si>
  <si>
    <t>Inflación!B9:F9</t>
  </si>
  <si>
    <t>3.93/3.83/3.75%</t>
  </si>
  <si>
    <t>22-sep-2026</t>
  </si>
  <si>
    <t>Referencia</t>
  </si>
  <si>
    <t>Encuesta Citi de Expectativas (comentario original de Proyección Final!C10). Referencia histórica del modelo anterior; no es escenario.</t>
  </si>
  <si>
    <t>Beta desapalancada (βU) · regresión semanal desapalancada (oficial)</t>
  </si>
  <si>
    <t>WACC!B9 ← 'Beta y Kd'!B19 ← H8</t>
  </si>
  <si>
    <t>7-oct-2026</t>
  </si>
  <si>
    <t>Regresión semanal de rendimientos Soriana B vs. S&amp;P/BMV IPC (Investing.com): βL observada 0.2178 (p = 0.087, no significativa al 95%), desapalancada con D/E 23,618 / 59,580 y t 30% → βU 0.1705. Referencia (no usada): Damodaran, Betas by Sector (Global), ene-2026, Retail (Grocery and Food), βU corregida por caja 0.69.</t>
  </si>
  <si>
    <t>Beta heredada (histórico)</t>
  </si>
  <si>
    <t>'Beta y Kd'!B26</t>
  </si>
  <si>
    <t>Excel anterior / Material Maestro; solo para reproducir el baseline $31.16.</t>
  </si>
  <si>
    <t>Kd antes de impuestos (iteración)</t>
  </si>
  <si>
    <t>Proyección Final!C61</t>
  </si>
  <si>
    <t>%</t>
  </si>
  <si>
    <t>Comentario original de C61: Encuesta Citi (tasa Banxico 6.50% a fin de 2026 y 2027) y gastos financieros 1S26. Control: intereses 1S26 anualizados / deuda 2T26 = 9.87% ('Beta y Kd'!B58).</t>
  </si>
  <si>
    <t>Rf Bono M 10 años</t>
  </si>
  <si>
    <t>WACC!B5</t>
  </si>
  <si>
    <t>Cierre del Bono M 10 años el 25-sep-2026 (misma fecha que el precio de Soriana, WACC!B14): 9.517%. Fuente consultada: Investing.com, histórico Mexico 10Y (no oficial); confirmar en Banxico SIE (vector de precios de valores gubernamentales). Al usar el Bono M en pesos, el Rf ya incorpora el riesgo soberano de México.</t>
  </si>
  <si>
    <t>WACC!B6</t>
  </si>
  <si>
    <t>ene-2026</t>
  </si>
  <si>
    <t>Damodaran, Historical Implied Equity Risk Premiums (ene-2026): ERP implícita del S&amp;P 500 = 4.23%. La prima país México (2.46%, Damodaran Country Risk Premiums, 5-ene-2026) queda solo como referencia en WACC!B7 para no duplicar el riesgo país ya incluido en el Rf en pesos.</t>
  </si>
  <si>
    <t>Crecimiento perpetuo g</t>
  </si>
  <si>
    <t>Proyección Final!B123</t>
  </si>
  <si>
    <t>oct-2026</t>
  </si>
  <si>
    <t>g nominal = inflación de largo plazo (escenario Base 3.51%, Inflación!B48; meta de Banxico 3% ±1 pp) → crecimiento real ≈ 0%, prudente para un autoservicio maduro con ventas a la baja. g &lt; Rf (9.52%) y g &lt; WACC; FCF terminal normalizado con capex = D&amp;A (Proyección Final!B127).</t>
  </si>
  <si>
    <t>Múltiplos de comparables</t>
  </si>
  <si>
    <t>10 empresas</t>
  </si>
  <si>
    <t>30-jun-2026</t>
  </si>
  <si>
    <t>S&amp;P Capital IQ, MULTIPLOS DE SORIANA Y COMPETIDORES.xls</t>
  </si>
  <si>
    <t>Transacciones</t>
  </si>
  <si>
    <t>3 operaciones</t>
  </si>
  <si>
    <t>x / MXN mm</t>
  </si>
  <si>
    <t>S&amp;P Capital IQ, TRANSACCIONES INDUSTRIA RETAIL.xls</t>
  </si>
  <si>
    <t>Métricas LTM y balance 2T26 de Soriana</t>
  </si>
  <si>
    <t>Trading Comps sección 2</t>
  </si>
  <si>
    <t>Hoja Datos (reportes trimestrales de Soriana)</t>
  </si>
  <si>
    <t>Pesos de la combinada</t>
  </si>
  <si>
    <t>Valuación Combinada!C4:C6</t>
  </si>
  <si>
    <t>50/50/0</t>
  </si>
  <si>
    <t>Pesos iguales entre métodos activos (diap. 18). Precedent Transactions = 0%: la muestra CIQ (3 operaciones) no es defendible y la muestra LSEG/SDC auditada es global, de control mixto y muy dispersa; se muestra como referencia.</t>
  </si>
  <si>
    <t>Transacciones LSEG/SDC</t>
  </si>
  <si>
    <t>Transacciones SDC</t>
  </si>
  <si>
    <t>23 evaluadas · 166 en pantalla</t>
  </si>
  <si>
    <t>19-oct-2026</t>
  </si>
  <si>
    <t>USD mm / x</t>
  </si>
  <si>
    <t>LSEG/SDC (Refinitiv), GridExport_October_19_2026_9_29_57.pdf (Current Screen Template, 19-oct-2026 09:29:57). Juicio del analista separado en columnas naranjas.</t>
  </si>
  <si>
    <t>Contraste S&amp;P Capital IQ / LSEG Refinitiv</t>
  </si>
  <si>
    <t>Contraste externo</t>
  </si>
  <si>
    <t>13 referencias</t>
  </si>
  <si>
    <t>MXN por acción / x</t>
  </si>
  <si>
    <t>Soriana_Reporte_Valuacion_CapitalIQ_Refinitiv.pdf (consulta 19-oct-2026; último cierre en CIQ 7-oct-2026). No se incorpora al precio oficial.</t>
  </si>
  <si>
    <t>Tipo de cambio de referencia</t>
  </si>
  <si>
    <t/>
  </si>
  <si>
    <t>Cada insumo del modelo con su origen. Tipo: Observado · Supuesto · Modelo · Pendiente (input heredado sin fuente verificada).</t>
  </si>
  <si>
    <t>Fuente: Excel · hoja Fuentes</t>
  </si>
  <si>
    <t>Tabla 4. Fuentes documentales</t>
  </si>
  <si>
    <t>Documento</t>
  </si>
  <si>
    <t>Uso</t>
  </si>
  <si>
    <t>Excel PRO auditado</t>
  </si>
  <si>
    <t>EXCEL FINAL PRO DEFINITIVO SORIANA - AUDITADO.xlsx</t>
  </si>
  <si>
    <t>Fuente maestra: DCF, inflación, Trading Comps, Precedent Transactions (CIQ y LSEG/SDC), combinada, contraste externo y validación (49 controles)</t>
  </si>
  <si>
    <t>Excel PRO original</t>
  </si>
  <si>
    <t>EXCEL FINAL PRO DEFINITIVO SORIANA.xlsx (excel/original, sin cambios)</t>
  </si>
  <si>
    <t>Versión del equipo antes de la auditoría; cambios en la hoja Auditoría</t>
  </si>
  <si>
    <t>LSEG/SDC (Refinitiv)</t>
  </si>
  <si>
    <t>GridExport_October_19_2026_9_29_57.pdf · Current Screen Template, 19-oct-2026</t>
  </si>
  <si>
    <t>166 operaciones; 23 evaluadas en la hoja Transacciones SDC</t>
  </si>
  <si>
    <t>Reporte comparativo</t>
  </si>
  <si>
    <t>Soriana_Reporte_Valuacion_CapitalIQ_Refinitiv.pdf (19-oct-2026)</t>
  </si>
  <si>
    <t>DCF con estimados CIQ, múltiplos, transacciones, consenso CIQ y Refinitiv, StarMine (referencias)</t>
  </si>
  <si>
    <t>Banco de México</t>
  </si>
  <si>
    <t>Serie SP74833 · INPC variación anual quincenal</t>
  </si>
  <si>
    <t>Datos de los modelos de inflación (consulta 07-oct-2026)</t>
  </si>
  <si>
    <t>S&amp;P Capital IQ</t>
  </si>
  <si>
    <t>Quick Comparable Analysis (as-of 30-jun-2026)</t>
  </si>
  <si>
    <t>Múltiplos publicados de 10 comparables (extracto con atribución)</t>
  </si>
  <si>
    <t>Regresión semanal Soriana B vs. IPC</t>
  </si>
  <si>
    <t>Investing.com · hoja Beta y Kd §2</t>
  </si>
  <si>
    <t>βL observada 0.2178 → βU 0.1705 (beta oficial del WACC)</t>
  </si>
  <si>
    <t>Damodaran (NYU Stern)</t>
  </si>
  <si>
    <t>Betas by Sector (Global), enero 2026 · Retail (Grocery and Food)</t>
  </si>
  <si>
    <t>βL 0.87, βU 0.65; corregida por caja 0.69 (referencia; beta oficial hasta el 19-oct-2026)</t>
  </si>
  <si>
    <t>Comparable M&amp;A Transactions</t>
  </si>
  <si>
    <t>3 operaciones (histórico; no defendible)</t>
  </si>
  <si>
    <t>AE 1 · Etapa 1</t>
  </si>
  <si>
    <t>PDF académico</t>
  </si>
  <si>
    <t>Perfil, historia, gobierno corporativo, estructura de capital, dividendos</t>
  </si>
  <si>
    <t>Reportes trimestrales</t>
  </si>
  <si>
    <t>Soriana 2T25–2T26 (BMV)</t>
  </si>
  <si>
    <t>Estados financieros trimestrales capturados en el Excel</t>
  </si>
  <si>
    <t>4. Inflación y escenarios macro</t>
  </si>
  <si>
    <t>Tabla 5. Escenarios oficiales y referencia</t>
  </si>
  <si>
    <t>Precio DCF</t>
  </si>
  <si>
    <t>Naturaleza</t>
  </si>
  <si>
    <t>Cautela</t>
  </si>
  <si>
    <t>Escenario derivado de la tendencia larga</t>
  </si>
  <si>
    <t>Valor documentado en el Dossier ("ventana 2023-2026, trimestral 3.26%") y en Avances (escenario Cautela). Construcción de clase más cercana: fila 36 (3.268%). Modelos de tendencia larga calculados aquí: fila 34.</t>
  </si>
  <si>
    <t>Base · activo</t>
  </si>
  <si>
    <t>Forecast / resultado de modelo</t>
  </si>
  <si>
    <t>Fila 33 redondeada a 2 decimales en %. Reproduce el 3.51% del Dossier ("4.0327e^(−0.028x) → 3.51%") y de Avances. Horizonte: siguiente trimestre; su extensión a 2026–30 es un supuesto.</t>
  </si>
  <si>
    <t>Alcista</t>
  </si>
  <si>
    <t>Supuesto de escenario (no es pronóstico estadístico)</t>
  </si>
  <si>
    <t>Avances de valuación intrínseca: "Alcista: inflación 4.0%". No proviene de ningún modelo. Referencia de contexto: el promedio trimestral máximo del último año fue 4.33% (fila 38).</t>
  </si>
  <si>
    <t>Trayectoria Citi — Referencia</t>
  </si>
  <si>
    <t>Referencia histórica (no es escenario)</t>
  </si>
  <si>
    <t>Encuesta Citi de Expectativas, 22-sep-2026: cierre 2026 3.93%, 2027 3.83%, promedio 2028–32 3.75% (comentario original de Proyección Final!C10). Pronóstico de consenso por año: REFERENCIA HISTÓRICA del modelo anterior, no escenario oficial.</t>
  </si>
  <si>
    <t>Tres escenarios oficiales; la trayectoria Citi es una referencia histórica (no es escenario). Cada uno re-ejecuta el modelo completo. Los escenarios constantes extienden a 2026E–2030E un pronóstico de un periodo: es un supuesto documentado. Mayor inflación eleva el valor porque el WACC nominal no cambia (no hay relación documentada inflación → Rf/WACC/beta/g).</t>
  </si>
  <si>
    <t>Fuente: Excel maestro · hoja Inflación §1 y §4 · Unidades: % anual · MXN por acción</t>
  </si>
  <si>
    <t>Tabla 6. Transmisión de la inflación a las ventas (escenario activo)</t>
  </si>
  <si>
    <t>Inflación aplicada</t>
  </si>
  <si>
    <t>Crecimiento nominal del mercado</t>
  </si>
  <si>
    <t>Crecimiento por variables externas</t>
  </si>
  <si>
    <t>Crecimiento por mínimos cuadrados</t>
  </si>
  <si>
    <t>Peso de variables externas</t>
  </si>
  <si>
    <t>Crecimiento final de ventas</t>
  </si>
  <si>
    <t>Margen EBIT (sin término de inflación)</t>
  </si>
  <si>
    <t>Capex</t>
  </si>
  <si>
    <t>FCF</t>
  </si>
  <si>
    <t>Inflación → crecimiento nominal del mercado → variables externas → ponderación con mínimos cuadrados → ventas → FCF. Inflación aplicada (Inflación!B13:F13) Proyección Final!C10:G10 · → Crecimiento nominal del mercado Proyección Final!C14 · → Crecimiento por variables externas Proyección Final!C23 · → Ventas por mínimos cuadrados 2027E–2030E Proyección Final!D26:G26 · → Crecimiento final de ventas Proyección Final!C28 · → Ventas, costos, EBIT, impuestos, capital de trabajo Proyección Final!C67:G117 · → Valor (WACC no cambia con la inflación) Proyección Final!B265</t>
  </si>
  <si>
    <t>Fuente: Motor ValuFlow · réplica de Proyección Final filas 10–28 · Unidades: % · mdp</t>
  </si>
  <si>
    <t>Tabla 7. Modelos exponenciales de clase  y = a·e^(b·x)</t>
  </si>
  <si>
    <t>a</t>
  </si>
  <si>
    <t>b</t>
  </si>
  <si>
    <t>R²</t>
  </si>
  <si>
    <t>x siguiente</t>
  </si>
  <si>
    <t>Proyección (app)</t>
  </si>
  <si>
    <t>Excel</t>
  </si>
  <si>
    <t>Inmediata (último año, quincenal)</t>
  </si>
  <si>
    <t>Trimestral (4 promedios) → forecast Base</t>
  </si>
  <si>
    <t>Ventana larga 2023–2026</t>
  </si>
  <si>
    <t>Libro de clase (coeficientes redondeados)</t>
  </si>
  <si>
    <t>Construcción de clase S113 (≈ Cautela)</t>
  </si>
  <si>
    <t>Escenario Base = trimestral redondeado</t>
  </si>
  <si>
    <t>Calculados por la app con la serie de Banxico y comparados contra el Excel. b = SLOPE(ln y, x); a = EXP(INTERCEPT(ln y, x)); R² = RSQ. R² bajo en los modelos de corto plazo: la tendencia explica poco de la variación.</t>
  </si>
  <si>
    <t>Fuente: Banxico SP74833 · Excel maestro hoja Inflación §3 · Unidades: n · coeficientes · %</t>
  </si>
  <si>
    <t>5. Beta y costo de la deuda</t>
  </si>
  <si>
    <t>Tabla 8. Beta del WACC: regresión semanal desapalancada (oficial)</t>
  </si>
  <si>
    <t>Lectura</t>
  </si>
  <si>
    <t>Beta apalancada observada (βL, pendiente de la regresión)</t>
  </si>
  <si>
    <t>Regresión semanal (Investing.com); error típico 0.1269, t 1.716, p 0.0874, IC 95% −0.032 a 0.468</t>
  </si>
  <si>
    <t>Deuda / capitalización de la regresión</t>
  </si>
  <si>
    <t>23,618 / 59,580</t>
  </si>
  <si>
    <t>D/E 0.3964 · tasa 30%</t>
  </si>
  <si>
    <t>Beta desapalancada derivada (βU)</t>
  </si>
  <si>
    <t>βU = βL / [1 + (1 − t) × D/E] = 0.2178 / [1 + (1 − 30%) × 0.3964]. Supuesto oficial del WACC.</t>
  </si>
  <si>
    <t>βL observada de la regresión → βU con la estructura de capital de la propia regresión → se reapalanca con la del modelo (sin volver a usar la βL observada).</t>
  </si>
  <si>
    <t>Fuente: Excel maestro · hoja Beta y Kd §2 · Unidades: x · mdp · %</t>
  </si>
  <si>
    <t>Tabla 9. Beta sectorial de Damodaran (referencia, no usada)</t>
  </si>
  <si>
    <t>Industria</t>
  </si>
  <si>
    <t>Retail (Grocery and Food)</t>
  </si>
  <si>
    <t>215 empresas · muestra global</t>
  </si>
  <si>
    <t>Beta apalancada de la industria (βL)</t>
  </si>
  <si>
    <t>Refleja la estructura de capital promedio de la industria (D/E 45.96%), no la de la empresa.</t>
  </si>
  <si>
    <t>βU = βL / [1 + (1 − t) × D/E] con t marginal 25.37% → 0.6478 (control)</t>
  </si>
  <si>
    <t>βU corregida por caja</t>
  </si>
  <si>
    <t>Beta oficial del equipo hasta el 19-oct-2026; hoy es referencia.</t>
  </si>
  <si>
    <t>βU heredada del modelo anterior</t>
  </si>
  <si>
    <t>Solo reproduce el baseline histórico.</t>
  </si>
  <si>
    <t>Aswath Damodaran, NYU Stern  Betas by Sector · Enero de 2026 · Retail (Grocery and Food) BETA DESAPALANCADA USADA EN EL WACC (βU) — regresión semanal desapalancada Menor βU → menor βL y Ke → menor WACC → mayor EV y precio. El cambio no altera los flujos (FCF) ni el puente. La βU de regresión se reapalanca con la D/E de este libro; la βL observada (0.2178) no se usa directamente. Referencia (NO usada): Ke con la βL de la industria 0.87 sin reapalancar</t>
  </si>
  <si>
    <t>Fuente: Damodaran (NYU Stern) · Excel maestro hoja Beta y Kd §1 · Unidades: x · %</t>
  </si>
  <si>
    <t>Tabla 10. Reapalancamiento con la estructura de capital de la empresa</t>
  </si>
  <si>
    <t>A valor de mercado</t>
  </si>
  <si>
    <t>Iterado al valor DCF</t>
  </si>
  <si>
    <t>βU usada</t>
  </si>
  <si>
    <t>Tasa fiscal</t>
  </si>
  <si>
    <t>βL reapalancada</t>
  </si>
  <si>
    <t>βL = βU × [1 + (1 − t) × D/E]; Ke = Rf + βL × PRM.</t>
  </si>
  <si>
    <t>Fuente: Motor ValuFlow · réplica de Beta y Kd §3 · Unidades: x · %</t>
  </si>
  <si>
    <t>Tabla 11. Impacto del cambio de beta (supuestos activos)</t>
  </si>
  <si>
    <t>βU 0.69 (Damodaran)</t>
  </si>
  <si>
    <t>βU 0.1705</t>
  </si>
  <si>
    <t>Cambio</t>
  </si>
  <si>
    <t>βL iterada</t>
  </si>
  <si>
    <t>−2.95 pp</t>
  </si>
  <si>
    <t>−1.82 pp</t>
  </si>
  <si>
    <t>EV ponderado</t>
  </si>
  <si>
    <t>Equity a la fecha de valuación</t>
  </si>
  <si>
    <t>Recalculado con el modelo completo: misma proyección, distinta beta. La columna de referencia es la beta oficial anterior.</t>
  </si>
  <si>
    <t>Fuente: Motor ValuFlow · réplica de Beta y Kd §4 · Unidades: % · mdp · MXN</t>
  </si>
  <si>
    <t>Tabla 12. Costo de la deuda (Kd)</t>
  </si>
  <si>
    <t>Fuente (comentario original de la celda C61): Encuesta Citi — tasa Banxico 6.50% a fin de 2026 y 2027 (imagenradio.com.mx, 22-sep-2026) y gastos financieros 1S26 de la hoja Datos.</t>
  </si>
  <si>
    <t>Control: intereses 1S26 anualizados / deuda 2T26</t>
  </si>
  <si>
    <t>(588 + 582) × 2 / 23,720.6 (deuda bancaria + arrendamientos al 2T26).</t>
  </si>
  <si>
    <t>Referencia (no usada): tasa implícita FY2025</t>
  </si>
  <si>
    <t>Solo alimenta el WACC a valor de mercado (punto de partida de la iteración).</t>
  </si>
  <si>
    <t>Se conserva el 10% con su fuente; control con datos observados.</t>
  </si>
  <si>
    <t>Fuente: Excel maestro · Beta y Kd §5 · Unidades: %</t>
  </si>
  <si>
    <t>Tabla 13. Beta del estudio de clase (regresión diaria) — NO alimenta el WACC</t>
  </si>
  <si>
    <t>Pendiente: rendimientos diarios vs. IPC</t>
  </si>
  <si>
    <t>R² 0.0002 · 62 observaciones: no es una estimación defendible.</t>
  </si>
  <si>
    <t>Beta reportada en el estudio de clase</t>
  </si>
  <si>
    <t>Fórmula SLOPE(…)×10: el factor ×10 no tiene sustento.</t>
  </si>
  <si>
    <t>Estimación distinta de la regresión semanal que sí alimenta el WACC.</t>
  </si>
  <si>
    <t>Fuente: Excel maestro · hoja Inflación §6 · Unidades: x</t>
  </si>
  <si>
    <t>6. CAPM y WACC</t>
  </si>
  <si>
    <t>Tabla 14. WACC · mercado vs. iterado</t>
  </si>
  <si>
    <t>Componente</t>
  </si>
  <si>
    <t>Valor de mercado</t>
  </si>
  <si>
    <t>Iterado al DCF</t>
  </si>
  <si>
    <t>Deuda (D)</t>
  </si>
  <si>
    <t>Capital (E)</t>
  </si>
  <si>
    <t>60,264.0 · mercado</t>
  </si>
  <si>
    <t>71,948.1 · DCF</t>
  </si>
  <si>
    <t>Beta apalancada βL</t>
  </si>
  <si>
    <t>Componentes del costo de capital en ambos enfoques. Activo en el modelo: WACC iterado.</t>
  </si>
  <si>
    <t>Fuente: Excel · WACC e iteración · Unidades: % · mdp</t>
  </si>
  <si>
    <t>Tabla 15. Iteraciones</t>
  </si>
  <si>
    <t>Iteración 0</t>
  </si>
  <si>
    <t>Iteración 1</t>
  </si>
  <si>
    <t>Iteración 2</t>
  </si>
  <si>
    <t>Iteración 3</t>
  </si>
  <si>
    <t>Iteración 4</t>
  </si>
  <si>
    <t>Iteración 5</t>
  </si>
  <si>
    <t>El equity del DCF alimenta D/E hasta converger.</t>
  </si>
  <si>
    <t>Fuente: Motor ValuFlow · Unidades: %</t>
  </si>
  <si>
    <t>7. Proyecciones operativas y FCFF</t>
  </si>
  <si>
    <t>Tabla 16. Proyección de estados financieros</t>
  </si>
  <si>
    <t>2025A</t>
  </si>
  <si>
    <t>Estado de resultados</t>
  </si>
  <si>
    <t>Costo de ventas</t>
  </si>
  <si>
    <t>Utilidad bruta</t>
  </si>
  <si>
    <t>Gastos de operación (sin D&amp;A)</t>
  </si>
  <si>
    <t>Depreciación y amortización</t>
  </si>
  <si>
    <t>Gastos financieros</t>
  </si>
  <si>
    <t>Utilidad antes de impuestos</t>
  </si>
  <si>
    <t>Impuestos a la utilidad</t>
  </si>
  <si>
    <t>Utilidad neta</t>
  </si>
  <si>
    <t>Dividendos pagados</t>
  </si>
  <si>
    <t>Balance general</t>
  </si>
  <si>
    <t>Efectivo y equivalentes</t>
  </si>
  <si>
    <t>Inventarios</t>
  </si>
  <si>
    <t>Otros activos circulantes</t>
  </si>
  <si>
    <t>Activo no circulante</t>
  </si>
  <si>
    <t>Activo total</t>
  </si>
  <si>
    <t>Pasivo circulante operativo</t>
  </si>
  <si>
    <t>Deuda bursátil y bancaria</t>
  </si>
  <si>
    <t>Pasivo por arrendamiento</t>
  </si>
  <si>
    <t>Otros pasivos a largo plazo</t>
  </si>
  <si>
    <t>Pasivo total</t>
  </si>
  <si>
    <t>Capital contable</t>
  </si>
  <si>
    <t>Comprobación (A − P − C)</t>
  </si>
  <si>
    <t>Recalculada en vivo desde los drivers del Excel · inflación: Base.</t>
  </si>
  <si>
    <t>Fuente: Motor ValuFlow · réplica de Proyección Final · Unidades: mdp</t>
  </si>
  <si>
    <t>Tabla 17. Ponderación de métodos y supuestos finales</t>
  </si>
  <si>
    <t>Peso de mínimos cuadrados</t>
  </si>
  <si>
    <t>Crecimiento de ventas</t>
  </si>
  <si>
    <t>Variables externas</t>
  </si>
  <si>
    <t>Mínimos cuadrados</t>
  </si>
  <si>
    <t>Final (ponderado)</t>
  </si>
  <si>
    <t>Margen EBIT</t>
  </si>
  <si>
    <t>Otros supuestos finales</t>
  </si>
  <si>
    <t>Capex (% ventas)</t>
  </si>
  <si>
    <t>D&amp;A (% ventas)</t>
  </si>
  <si>
    <t>Tasa de impuestos</t>
  </si>
  <si>
    <t>Cómo se combinan variables externas y mínimos cuadrados en cada año.</t>
  </si>
  <si>
    <t>Fuente: Excel · Proyección final · Unidades: %</t>
  </si>
  <si>
    <t>Tabla 18. Mínimos cuadrados por partida del FCFF</t>
  </si>
  <si>
    <t>Partida</t>
  </si>
  <si>
    <t>2T25</t>
  </si>
  <si>
    <t>3T25</t>
  </si>
  <si>
    <t>4T25</t>
  </si>
  <si>
    <t>1T26</t>
  </si>
  <si>
    <t>2T26</t>
  </si>
  <si>
    <t>3T26</t>
  </si>
  <si>
    <t>4T26</t>
  </si>
  <si>
    <t>1T27</t>
  </si>
  <si>
    <t>2T27</t>
  </si>
  <si>
    <t>Costos y gastos operativos</t>
  </si>
  <si>
    <t>Tasa de impuesto</t>
  </si>
  <si>
    <t>-2.19 pp</t>
  </si>
  <si>
    <t>Capital de trabajo neto</t>
  </si>
  <si>
    <t>Y = a + b·X con X centrado (X = n − (N+1)/2), sobre 5 trimestres. FCFF LTM proyectado (3T26–2T27) 10,301.0 mdp; ajustado por variables externas 9,510.6 mdp; LTM actual 10,516.5 mdp.</t>
  </si>
  <si>
    <t>Fuente: Excel · FCFF mínimos cuadrados · Unidades: mdp · %</t>
  </si>
  <si>
    <t>Tabla 19. Variables externas</t>
  </si>
  <si>
    <t>Variable</t>
  </si>
  <si>
    <t>Categoría</t>
  </si>
  <si>
    <t>Dato observado</t>
  </si>
  <si>
    <t>Efecto</t>
  </si>
  <si>
    <t>Δ Ventas</t>
  </si>
  <si>
    <t>Δ Costos</t>
  </si>
  <si>
    <t>Δ Capex</t>
  </si>
  <si>
    <t>Crecimiento del PIB</t>
  </si>
  <si>
    <t>Macroeconomía México</t>
  </si>
  <si>
    <t>Banxico (abr–jun 2026): PIB 2026 1.5%; 2027 2.0%</t>
  </si>
  <si>
    <t>+</t>
  </si>
  <si>
    <t>Inflación</t>
  </si>
  <si>
    <t>General 3.42% y subyacente 3.79% (1a qna. sep-2026)</t>
  </si>
  <si>
    <t>Ventas y costos</t>
  </si>
  <si>
    <t>Neutral</t>
  </si>
  <si>
    <t>Tasa Banxico / Fed</t>
  </si>
  <si>
    <t>Política monetaria</t>
  </si>
  <si>
    <t>Banxico 6.50% (24-sep-2026); Fed +25 pb en septiembre</t>
  </si>
  <si>
    <t>WACC / gastos financieros</t>
  </si>
  <si>
    <t>−</t>
  </si>
  <si>
    <t>Tipo de cambio</t>
  </si>
  <si>
    <t>18.08 MXN/USD al 30-sep-2026</t>
  </si>
  <si>
    <t>Costos y capex</t>
  </si>
  <si>
    <t>Remesas</t>
  </si>
  <si>
    <t>2025: USD 61,791 mm (−4.6%); 1T26 +1.4%</t>
  </si>
  <si>
    <t>Salario mínimo 2026 +13%</t>
  </si>
  <si>
    <t>Política laboral</t>
  </si>
  <si>
    <t>De 278.80 a 315.04 $/día</t>
  </si>
  <si>
    <t>Costos y ventas</t>
  </si>
  <si>
    <t>Mixto</t>
  </si>
  <si>
    <t>Jornada de 40 horas</t>
  </si>
  <si>
    <t>Reducción gradual de 48 a 40 h a partir de 2027</t>
  </si>
  <si>
    <t>Costos</t>
  </si>
  <si>
    <t>IEPS a bebidas y tabaco</t>
  </si>
  <si>
    <t>Política fiscal</t>
  </si>
  <si>
    <t>Bebidas de 1.64 a 3.08 $/litro; tabaco 160% → 200%</t>
  </si>
  <si>
    <t>Aranceles a países sin tratado</t>
  </si>
  <si>
    <t>Política comercial</t>
  </si>
  <si>
    <t>Hasta 50% a importaciones de Asia desde 1-ene-2026</t>
  </si>
  <si>
    <t>Revisión del T-MEC</t>
  </si>
  <si>
    <t>T-MEC</t>
  </si>
  <si>
    <t>Revisiones anuales activadas; inversión débil</t>
  </si>
  <si>
    <t>Aranceles sectoriales de EU</t>
  </si>
  <si>
    <t>T-MEC / EU</t>
  </si>
  <si>
    <t>Acero, aluminio y automotriz</t>
  </si>
  <si>
    <t>Medio Oriente / petróleo</t>
  </si>
  <si>
    <t>Geopolítica</t>
  </si>
  <si>
    <t>Petróleo arriba de USD 100 (sep-2026)</t>
  </si>
  <si>
    <t>Ventas ANTAD</t>
  </si>
  <si>
    <t>Sector retail</t>
  </si>
  <si>
    <t>Ago-2026: autoservicio −0.7% tiendas iguales</t>
  </si>
  <si>
    <t>Hard discount</t>
  </si>
  <si>
    <t>Megatendencia</t>
  </si>
  <si>
    <t>Tiendas 3B de 4% (2019) a 14% (2025) del mercado de descuento</t>
  </si>
  <si>
    <t>Omnicanalidad</t>
  </si>
  <si>
    <t>Inversión en surtido en línea y última milla</t>
  </si>
  <si>
    <t>Ventas y capex</t>
  </si>
  <si>
    <t>Rentas comerciales</t>
  </si>
  <si>
    <t>Inmobiliario</t>
  </si>
  <si>
    <t>+11.09% en 1S26; USD 28.93/m²</t>
  </si>
  <si>
    <t>Costos y otros ingresos</t>
  </si>
  <si>
    <t>Ocupación de FIBRAs</t>
  </si>
  <si>
    <t>Ocupación arriba de 91% al 2T26</t>
  </si>
  <si>
    <t>Ventas (otros ingresos)</t>
  </si>
  <si>
    <t>Ajuste neto aplicado</t>
  </si>
  <si>
    <t>Canal de transmisión de cada variable al FCFF y ajuste aplicado.</t>
  </si>
  <si>
    <t>Fuente: Excel · Variables externas · Unidades: %</t>
  </si>
  <si>
    <t>Tabla 20. Flujo libre de efectivo</t>
  </si>
  <si>
    <t>Crecimiento</t>
  </si>
  <si>
    <t>Factor de descuento</t>
  </si>
  <si>
    <t>Valor presente del FCF</t>
  </si>
  <si>
    <t>Calculado en vivo por el motor con los supuestos activos. WACC 9.56% · g 3.50%. Los drivers (crecimiento, margen, tasa, D&amp;A, capex y capital de trabajo) se derivan de las filas de la proyección fuente.</t>
  </si>
  <si>
    <t>Fuente: Motor ValuFlow · drivers del Excel · Unidades: mdp</t>
  </si>
  <si>
    <t>8. Valor terminal</t>
  </si>
  <si>
    <t>Tabla 21. Valor terminal y su peso</t>
  </si>
  <si>
    <t>FCF normalizado 2030E</t>
  </si>
  <si>
    <t>Valor terminal Gordon</t>
  </si>
  <si>
    <t>VP Gordon</t>
  </si>
  <si>
    <t>Valor terminal múltiplo</t>
  </si>
  <si>
    <t>VP múltiplo</t>
  </si>
  <si>
    <t>VP valor terminal ponderado</t>
  </si>
  <si>
    <t>Fuente: Motor ValuFlow · Excel PRO auditado hoja Proyección Final</t>
  </si>
  <si>
    <t>9. Del Enterprise Value al precio por acción</t>
  </si>
  <si>
    <t>Tabla 22. Del flujo al valor por acción</t>
  </si>
  <si>
    <t>VPN de los FCF</t>
  </si>
  <si>
    <t>FCF 2030E normalizado (NOPAT − ΔNWC) × (1 + g)</t>
  </si>
  <si>
    <t>Valor terminal (Gordon)</t>
  </si>
  <si>
    <t>VP del valor terminal (Gordon)</t>
  </si>
  <si>
    <t>EV · Gordon</t>
  </si>
  <si>
    <t>EBITDA 2030E × 5.81x</t>
  </si>
  <si>
    <t>VP del valor terminal (múltiplo)</t>
  </si>
  <si>
    <t>EV · múltiplos</t>
  </si>
  <si>
    <t>EV ponderado (50% Gordon)</t>
  </si>
  <si>
    <t>(−) Deuda bursátil y bancaria</t>
  </si>
  <si>
    <t>(−) Pasivo por arrendamiento</t>
  </si>
  <si>
    <t>(+) Efectivo</t>
  </si>
  <si>
    <t>Equity Value al cierre</t>
  </si>
  <si>
    <t>EV capitalizado × (1+WACC)^0.5</t>
  </si>
  <si>
    <t>(−) FCF 1S26 (fue (1,060.5); restarlo suma)</t>
  </si>
  <si>
    <t>EV al 2T26</t>
  </si>
  <si>
    <t>(−) Deuda 2T26</t>
  </si>
  <si>
    <t>(−) Arrendamiento 2T26</t>
  </si>
  <si>
    <t>(+) Efectivo 2T26</t>
  </si>
  <si>
    <t>Equity al 2T26</t>
  </si>
  <si>
    <t>× (1+Ke)^0.252777777777778 → Equity a la fecha de valuación</t>
  </si>
  <si>
    <t>Acciones en circulación (mm)</t>
  </si>
  <si>
    <t>Valor intrínseco por acción</t>
  </si>
  <si>
    <t>Puente completo de valuación.</t>
  </si>
  <si>
    <t>Fuente: Motor ValuFlow · Unidades: mdp</t>
  </si>
  <si>
    <t>10. Trading Comps</t>
  </si>
  <si>
    <t>Tabla 23. Muestra y criterios: grupo comparable</t>
  </si>
  <si>
    <t>País</t>
  </si>
  <si>
    <t>Industria (CIQ)</t>
  </si>
  <si>
    <t>Clasificación</t>
  </si>
  <si>
    <t>Incluir</t>
  </si>
  <si>
    <t>Mg EBITDA</t>
  </si>
  <si>
    <t>Crec. ventas</t>
  </si>
  <si>
    <t>EV/EBIT</t>
  </si>
  <si>
    <t>P/U</t>
  </si>
  <si>
    <t>Razón</t>
  </si>
  <si>
    <t>Grupo Comercial Chedraui, S.A.B. de C.V. (BMV:CHDRAUI B)</t>
  </si>
  <si>
    <t>Mexico</t>
  </si>
  <si>
    <t>Food Retail</t>
  </si>
  <si>
    <t>✓ Sí</t>
  </si>
  <si>
    <t>Par más cercano: mismo formato y país; margen EBITDA (6.4%) y crecimiento (−3.4%) casi iguales a los de Soriana.</t>
  </si>
  <si>
    <t>Grupo Mateus S.A. (BOVESPA:GMAT3)</t>
  </si>
  <si>
    <t>Brazil</t>
  </si>
  <si>
    <t>Consumer Staples Merchandise Retail</t>
  </si>
  <si>
    <t>Incluir con reserva</t>
  </si>
  <si>
    <t>Formato comparable; geografía (Brasil) y crecimiento (18.7%) distintos; P/U 4.7x atípico.</t>
  </si>
  <si>
    <t>El Puerto de Liverpool, S.A.B. de C.V. (BMV:LIVEPOL C-1)</t>
  </si>
  <si>
    <t>Broadline Retail</t>
  </si>
  <si>
    <t>Excluir</t>
  </si>
  <si>
    <t>— No</t>
  </si>
  <si>
    <t>Industria distinta (Broadline Retail); negocio financiero; margen EBITDA del doble (14.2%).</t>
  </si>
  <si>
    <t>Wal-Mart de México, S.A.B. de C.V. (BMV:WALMEX *)</t>
  </si>
  <si>
    <t>Competidor directo; 12 veces el tamaño de Soriana y líder del mercado (prima de múltiplo).</t>
  </si>
  <si>
    <t>La Comer, S.A.B. de C.V. (BMV:LACOMER UBC)</t>
  </si>
  <si>
    <t>Competidor directo; más pequeña, formato premium, más rentable (10.0%) y sin deuda neta.</t>
  </si>
  <si>
    <t>Sendas Distribuidora S.A. (BOVESPA:ASAI3)</t>
  </si>
  <si>
    <t>Formato comparable a City Club; Brasil; apalancamiento alto (4.0x) distorsiona P/U.</t>
  </si>
  <si>
    <t>Cencosud S.A. (SNSE:CENCOSUD)</t>
  </si>
  <si>
    <t>Chile</t>
  </si>
  <si>
    <t>Diversificada (Chile); EBITDA LTM −29.5% infla EV/EBITDA y EV/EBIT.</t>
  </si>
  <si>
    <t>InRetail Perú Corp. (BVL:INRETC1)</t>
  </si>
  <si>
    <t>Peru</t>
  </si>
  <si>
    <t>Multiformato (Perú) con negocios no comparables (farmacia, inmobiliario).</t>
  </si>
  <si>
    <t>Fomento Económico Mexicano, S.A.B. de C.V. (BMV:FEMSA UBD)</t>
  </si>
  <si>
    <t>Soft Drinks and Non-alcoholic Beverages</t>
  </si>
  <si>
    <t>Industria distinta (Soft Drinks); P/U 25.9x.</t>
  </si>
  <si>
    <t>Falabella S.A. (SNSE:FALABELLA)</t>
  </si>
  <si>
    <t>Industria distinta (Broadline Retail); negocio financiero.</t>
  </si>
  <si>
    <t>Revisión de comparabilidad por empresa (1 incluida, 6 con reserva, 3 excluidas). Solo las incluidas entran a los estadísticos. Clasificación del análisis de comparabilidad (Excel maestro, hoja Trading Comps). Múltiplos publicados por CIQ; no se recalculan ni se convierten divisas (los múltiplos no tienen unidades). NA = dato no disponible.</t>
  </si>
  <si>
    <t>Fuente: S&amp;P Capital IQ · as-of 2026-06-30 · Unidades: múltiplos LTM (x) · márgenes %</t>
  </si>
  <si>
    <t>Tabla 24. Múltiplos: selección</t>
  </si>
  <si>
    <t>Múltiplo</t>
  </si>
  <si>
    <t>Métrica de Soriana</t>
  </si>
  <si>
    <t>Usar</t>
  </si>
  <si>
    <t>Estado</t>
  </si>
  <si>
    <t>Justificación</t>
  </si>
  <si>
    <t>EV/EBITDA LTM</t>
  </si>
  <si>
    <t>EV</t>
  </si>
  <si>
    <t>Usado</t>
  </si>
  <si>
    <t>Múltiplo principal del sector (EV incluye arrendamientos; EBITDA post-NIIF 16).</t>
  </si>
  <si>
    <t>EV/EBIT LTM</t>
  </si>
  <si>
    <t>Complementa EV/EBITDA con la depreciación.</t>
  </si>
  <si>
    <t>P/U LTM</t>
  </si>
  <si>
    <t>P</t>
  </si>
  <si>
    <t>Múltiplo de capital; utilidades LTM.</t>
  </si>
  <si>
    <t>EV/Ventas LTM</t>
  </si>
  <si>
    <t>Excluido</t>
  </si>
  <si>
    <t>Excluido: ignora el margen (los pares tienen márgenes EBITDA de 5.6% a 11%).</t>
  </si>
  <si>
    <t>P/VL tangible</t>
  </si>
  <si>
    <t>Sin dato en la fuente.</t>
  </si>
  <si>
    <t>EV/EBITDA NTM</t>
  </si>
  <si>
    <t>P/U NTM</t>
  </si>
  <si>
    <t>NM = calculable pero sin utilidad analítica (p. ej. capital implícito ≤ 0) · NA = falta el dato.</t>
  </si>
  <si>
    <t>Fuente: Excel maestro · Trading Comps §3</t>
  </si>
  <si>
    <t>Tabla 25. Estadísticos y precio implícito</t>
  </si>
  <si>
    <t>Precio EV/Ventas</t>
  </si>
  <si>
    <t>Precio EV/EBITDA</t>
  </si>
  <si>
    <t>Precio EV/EBIT</t>
  </si>
  <si>
    <t>Precio P/U</t>
  </si>
  <si>
    <t>Precio = (múltiplo × métrica + ajuste neto) ÷ acciones; múltiplos de precio: múltiplo × UPA. Percentiles inclusivos. En gris: múltiplos no usados en el valor del método (se muestran para transparencia).</t>
  </si>
  <si>
    <t>Fuente: Motor ValuFlow · réplica de Trading Comps §4 · Unidades: x · MXN por acción</t>
  </si>
  <si>
    <t>Tabla 26. Del múltiplo al precio (a la media)</t>
  </si>
  <si>
    <t>Paso</t>
  </si>
  <si>
    <t>Métrica de la empresa</t>
  </si>
  <si>
    <t>EV implícito</t>
  </si>
  <si>
    <t>n.a. (múltiplo de precio)</t>
  </si>
  <si>
    <t>(+/−) Ajuste neto EV → capital</t>
  </si>
  <si>
    <t>Equity Value implícito</t>
  </si>
  <si>
    <t>Precio implícito</t>
  </si>
  <si>
    <t>EV implícito → Equity Value → precio por acción.</t>
  </si>
  <si>
    <t>Tabla 27. Métricas de la empresa y puente EV → capital</t>
  </si>
  <si>
    <t>Ventas LTM</t>
  </si>
  <si>
    <t>=SUM(Datos!C6:F6)</t>
  </si>
  <si>
    <t>EBIT LTM</t>
  </si>
  <si>
    <t>=SUM(Datos!C9:F9)</t>
  </si>
  <si>
    <t>EBITDA LTM</t>
  </si>
  <si>
    <t>=B19+B20</t>
  </si>
  <si>
    <t>UPA LTM (MXN)</t>
  </si>
  <si>
    <t>=B22/B23</t>
  </si>
  <si>
    <t>Acciones (millones)</t>
  </si>
  <si>
    <t>=WACC!B17</t>
  </si>
  <si>
    <t>=Datos!F17</t>
  </si>
  <si>
    <t>=-(Datos!F25+Datos!F26)</t>
  </si>
  <si>
    <t>(−) Arrendamientos</t>
  </si>
  <si>
    <t>=-(Datos!F27+Datos!F28)</t>
  </si>
  <si>
    <t>(−) Interés minoritario</t>
  </si>
  <si>
    <t>(−) Capital preferente</t>
  </si>
  <si>
    <t>Ajuste neto EV → capital</t>
  </si>
  <si>
    <t>Diap. 7: caja − deuda − minoritarios − preferentes</t>
  </si>
  <si>
    <t>Mismo corte que el as-of de CIQ (LTM al 2T26). Cada partida con su celda de origen.</t>
  </si>
  <si>
    <t>Fuente: Excel maestro · hoja Datos · Unidades: mdp</t>
  </si>
  <si>
    <t>11. Precedent Transactions (LSEG/SDC)</t>
  </si>
  <si>
    <t>Tabla 28. Búsqueda y selección de la muestra</t>
  </si>
  <si>
    <t>Criterio</t>
  </si>
  <si>
    <t>Resultado</t>
  </si>
  <si>
    <t>Búsqueda inicial</t>
  </si>
  <si>
    <t>M&amp;A de los últimos 3 años, autoservicio en México</t>
  </si>
  <si>
    <t>0 operaciones con múltiplos: solo FEMSA como comprador (Delek, objetivo en EE.UU.) y Nutrisa, sin múltiplos.</t>
  </si>
  <si>
    <t>Primera ampliación</t>
  </si>
  <si>
    <t>Subir un nivel en la industria (Retail: Food &amp; Beverage + Discount and Department Store)</t>
  </si>
  <si>
    <t>Sigue sin operaciones mexicanas con múltiplos.</t>
  </si>
  <si>
    <t>Segunda ampliación</t>
  </si>
  <si>
    <t>Eliminar el filtro geográfico → pantalla global</t>
  </si>
  <si>
    <t>166 operaciones en la pantalla (Retail: Food &amp; Beverage Retailing 130, Discount and Department Store Retailing 34, Food &amp; Beverage 2). La subindustria de SDC mezcla restaurantes, servicios de alimentos y departamentales.</t>
  </si>
  <si>
    <t>Filtro del analista</t>
  </si>
  <si>
    <t>Objetivo que opera autoservicio, supermercados o mayoreo de alimentos</t>
  </si>
  <si>
    <t>23 operaciones evaluadas abajo (19 de la versión original + 4 agregadas en la auditoría).</t>
  </si>
  <si>
    <t>Criterios objetivos</t>
  </si>
  <si>
    <t>Ventana de 3 años, ≥ 2 múltiplos, no recompra propia</t>
  </si>
  <si>
    <t>Columnas X–Z (fórmulas).</t>
  </si>
  <si>
    <t>Juicio del analista</t>
  </si>
  <si>
    <t>Adquisición real con control o participación estratégica relevante; calidad del dato; sin sanciones ni reestructura judicial</t>
  </si>
  <si>
    <t>Columna AA (naranja) y motivo.</t>
  </si>
  <si>
    <t>3 años: 2023-10-01 a 2026-10-01 (fecha de valuación)</t>
  </si>
  <si>
    <t>20 de 23 operaciones evaluadas dentro.</t>
  </si>
  <si>
    <t>Datos mínimos</t>
  </si>
  <si>
    <t>≥ 2 múltiplos de valor (EV/EBITDA, P/E, EV/Ventas)</t>
  </si>
  <si>
    <t>22 de 23 cumplen.</t>
  </si>
  <si>
    <t>18.48 MXN por USD</t>
  </si>
  <si>
    <t>Implícito en S&amp;P Capital IQ: capitalización 59,580 mdp / 3,223.7 USD mm al cierre del 7-oct-2026 (reporte comparativo, p. 1 y 25). Equivalente MXN solo informativo: los múltiplos no requieren conversión.</t>
  </si>
  <si>
    <t>Primero se buscó autoservicio en México; al no haber operaciones con múltiplos, se amplió la industria y luego la geografía (decisión metodológica documentada).</t>
  </si>
  <si>
    <t>Fuente: LSEG/SDC (Refinitiv) · GridExport_October_19_2026_9_29_57.pdf (2026-10-19 09:29:57)</t>
  </si>
  <si>
    <t>Tabla 29. Tabla definitiva de transacciones LSEG/SDC</t>
  </si>
  <si>
    <t>Decisión</t>
  </si>
  <si>
    <t>Incluida</t>
  </si>
  <si>
    <t>Excluida</t>
  </si>
  <si>
    <t>Fuente: LSEG/SDC (Refinitiv) · GridExport_October_19_2026_9_29_57.pdf · hoja Transacciones SDC. Unidades: USD mm, MXN mm, x.</t>
  </si>
  <si>
    <t>Tabla 30. Operaciones excluidas y motivo</t>
  </si>
  <si>
    <t>≥2 múlt.</t>
  </si>
  <si>
    <t>Fuente: hoja Transacciones SDC (criterios: ventana, ≥2 múltiplos, sector, sin recompra, juicio)</t>
  </si>
  <si>
    <t>Tabla 31. Estadísticos por múltiplo y precio implícito</t>
  </si>
  <si>
    <t>Precio EV/EBITDA (usado)</t>
  </si>
  <si>
    <t>Precio EV/Ventas (referencia)</t>
  </si>
  <si>
    <t>NM</t>
  </si>
  <si>
    <t>Límites de atípicos</t>
  </si>
  <si>
    <t>-2.04x a 15.5x</t>
  </si>
  <si>
    <t>-0.33x a 1.30x</t>
  </si>
  <si>
    <t>5.19x a 20.8x</t>
  </si>
  <si>
    <t>Atípicos detectados</t>
  </si>
  <si>
    <t>Media sin atípicos</t>
  </si>
  <si>
    <t>Mediana sin atípicos</t>
  </si>
  <si>
    <t>Solo operaciones elegibles con dato (los NA no cuentan). Atípicos: fuera de P25 − 1.5·RIC y P75 + 1.5·RIC. Precio con el mismo puente EV → capital que Trading Comps. Mediana (estadístico central robusto) en lugar de la media: con n pequeño y un atípico (Profi 21.3x) la media se desplaza al alza. P/E y EV/Ventas no entran al precio (pocas observaciones / ignora el margen).</t>
  </si>
  <si>
    <t>Fuente: Motor ValuFlow · réplica de Transacciones SDC §3 · Unidades: x · MXN por acción</t>
  </si>
  <si>
    <t>Tabla 32. Sensibilidad de la muestra a las operaciones de juicio</t>
  </si>
  <si>
    <t>Muestra</t>
  </si>
  <si>
    <t>Mediana EV/EBITDA</t>
  </si>
  <si>
    <t>Precio (mediana)</t>
  </si>
  <si>
    <t>Precio (media sin atípicos)</t>
  </si>
  <si>
    <t>Operaciones retiradas</t>
  </si>
  <si>
    <t>Muestra auditada (oficial)</t>
  </si>
  <si>
    <t>Sin Sun Art (empresa en dificultad)</t>
  </si>
  <si>
    <t>Sin participaciones no de control (Lawson 50%, Yonghui ~29%)</t>
  </si>
  <si>
    <t>Lawson Inc, Yonghui Superstores Co Ltd</t>
  </si>
  <si>
    <t>Sin Chengdu Hongqi (control no verificable en la pantalla)</t>
  </si>
  <si>
    <t>Cuánto cambia el resultado si se retiran las operaciones que dependen del criterio del analista.</t>
  </si>
  <si>
    <t>Fuente: Motor ValuFlow · réplica de Transacciones SDC §4 · Unidades: x · MXN por acción</t>
  </si>
  <si>
    <t>Tabla 33. Muestra histórica de S&amp;P Capital IQ (no defendible)</t>
  </si>
  <si>
    <t>TEV (MXN mm)</t>
  </si>
  <si>
    <t>¿Ventana?</t>
  </si>
  <si>
    <t>Observaciones</t>
  </si>
  <si>
    <t>Almacenes Éxito S.A.</t>
  </si>
  <si>
    <t>Super Selectos El Salvador</t>
  </si>
  <si>
    <t>Oferta por el control de Éxito; varios vendedores del grupo Casino. Única operación dentro de la ventana (por 15 días).</t>
  </si>
  <si>
    <t>InRetail Perú Corp.</t>
  </si>
  <si>
    <t>2019-07-11</t>
  </si>
  <si>
    <t>-</t>
  </si>
  <si>
    <t>Perú</t>
  </si>
  <si>
    <t>Comprador no identificado; tamaño 4,590 = 3.9% del TEV → probable venta minoritaria o secundaria, no de control. Fuera de la ventana.</t>
  </si>
  <si>
    <t>2019-06-26</t>
  </si>
  <si>
    <t>Sendas Distribuidora S.A.</t>
  </si>
  <si>
    <t>Vendedor Casino y comprador Sendas, ambos del grupo Casino según los datos → posible reestructura intra-grupo. Tamaño 130,645 &gt; TEV 56,675 (dato inconsistente). Fuera de la ventana.</t>
  </si>
  <si>
    <t>Media EV/EBITDA → precio</t>
  </si>
  <si>
    <t>Precio a la media: $40.73 (rango $24.76 – $65.44)</t>
  </si>
  <si>
    <t>Se conserva para trazabilidad: 3 operaciones, 1 dentro de la ventana y ninguna en México.</t>
  </si>
  <si>
    <t>Fuente: S&amp;P Capital IQ · hoja Transacciones · Unidades: MXN mm · x</t>
  </si>
  <si>
    <t>12. Contraste con S&amp;P Capital IQ y LSEG Refinitiv</t>
  </si>
  <si>
    <t>Tabla 34. Contraste con S&amp;P Capital IQ, LSEG Refinitiv y otros modelos</t>
  </si>
  <si>
    <t>Rango</t>
  </si>
  <si>
    <t>Precio de referencia</t>
  </si>
  <si>
    <t>Diferencia</t>
  </si>
  <si>
    <t>¿Entra al precio oficial?</t>
  </si>
  <si>
    <t>Supuestos principales</t>
  </si>
  <si>
    <t>Calidad y limitaciones</t>
  </si>
  <si>
    <t>Pág.</t>
  </si>
  <si>
    <t>Modelo del equipo (este libro)</t>
  </si>
  <si>
    <t>DCF (FCFF, 50% Gordon / 50% múltiplo, a la fecha de valuación)</t>
  </si>
  <si>
    <t>$37.93 – $39.14</t>
  </si>
  <si>
    <t>$33.48 (25-sep-2026)</t>
  </si>
  <si>
    <t>Sí (50%)</t>
  </si>
  <si>
    <t>βU 0.1705 (regresión semanal desapalancada; βL observada 0.2178), WACC iterado, g 3.5%, múltiplo de salida 5.81x</t>
  </si>
  <si>
    <t>Rango = escenarios de inflación Cautela–Alcista.</t>
  </si>
  <si>
    <t>Trading Comps (7 pares CIQ, promedio de 3 múltiplos a la media)</t>
  </si>
  <si>
    <t>$27.03 – $40.07</t>
  </si>
  <si>
    <t>EV/EBITDA, EV/EBIT y P/U LTM; puente al 2T26</t>
  </si>
  <si>
    <t>Múltiplos CIQ al 30-jun-2026; precio de mercado de otra fecha.</t>
  </si>
  <si>
    <t>Precedent Transactions LSEG/SDC (mediana EV/EBITDA)</t>
  </si>
  <si>
    <t>$20.41 – $49.19</t>
  </si>
  <si>
    <t>No (0%, referencia)</t>
  </si>
  <si>
    <t>Muestra global auditada; rango P25–P75</t>
  </si>
  <si>
    <t>Sin operaciones mexicanas; control mixto; dispersión amplia.</t>
  </si>
  <si>
    <t>Precedent Transactions CIQ (3 operaciones, media)</t>
  </si>
  <si>
    <t>$24.76 – $65.44</t>
  </si>
  <si>
    <t>No (histórico)</t>
  </si>
  <si>
    <t>Media de EV/EBITDA 7.63x</t>
  </si>
  <si>
    <t>Histórico: 1 de 3 en la ventana; no defendible.</t>
  </si>
  <si>
    <t>Valuación combinada (DCF 50% / Comps 50%)</t>
  </si>
  <si>
    <t>Sí (precio objetivo)</t>
  </si>
  <si>
    <t>Transacciones 0%</t>
  </si>
  <si>
    <t>Modelo individual del autor del reporte (SORIANA_FINAL)</t>
  </si>
  <si>
    <t>$32.12 – $47.74</t>
  </si>
  <si>
    <t>$33.10 (07-oct-2026)</t>
  </si>
  <si>
    <t>No (otro modelo)</t>
  </si>
  <si>
    <t>βU 0.1705 (regresión, no significativa al 95%), WACC 9.63%, Ke 10.39%, g 3.5%</t>
  </si>
  <si>
    <t>Misma βU que el equipo desde el 19-oct-2026; la diferencia restante es proyección, fecha y precio de referencia.</t>
  </si>
  <si>
    <t>1, 5–7</t>
  </si>
  <si>
    <t>Modelo individual del autor del reporte</t>
  </si>
  <si>
    <t>Valuación combinada (50% DCF / 50% comps)</t>
  </si>
  <si>
    <t>Modelo distinto del equipo.</t>
  </si>
  <si>
    <t>ValuFlow (app del equipo, versión anterior)</t>
  </si>
  <si>
    <t>$25.91 – $37.56</t>
  </si>
  <si>
    <t>βU 0.80 (heredada), WACC 11.88%, Ke 13.95%</t>
  </si>
  <si>
    <t>Salida histórica antes de esta actualización.</t>
  </si>
  <si>
    <t>S&amp;P Capital IQ (estimados de consenso; DCF construido por el autor)</t>
  </si>
  <si>
    <t>DCF con estimados CIQ</t>
  </si>
  <si>
    <t>$34.80 – $43.00</t>
  </si>
  <si>
    <t>WACC y g del modelo individual; horizonte de 4 años; sin capital de trabajo</t>
  </si>
  <si>
    <t>No es un DCF nativo de Capital IQ.</t>
  </si>
  <si>
    <t>12–13</t>
  </si>
  <si>
    <t>Múltiplos (Implied Valuation: promedio de medianas de 4 múltiplos, 10 pares)</t>
  </si>
  <si>
    <t>$25.30 – $33.80</t>
  </si>
  <si>
    <t>EV/EBITDA y P/U, LTM y NTM; USD→MXN a 18.48</t>
  </si>
  <si>
    <t>3 de 10 pares de otra industria; selección de múltiplos del autor.</t>
  </si>
  <si>
    <t>Transacciones (mediana 6.3x EV/EBITDA)</t>
  </si>
  <si>
    <t>$21.91 – $59.30</t>
  </si>
  <si>
    <t>Media 7.6x → $36.58; mín–máx</t>
  </si>
  <si>
    <t>Estadísticos calculados por el autor (CIQ los mostró vacíos).</t>
  </si>
  <si>
    <t>Combinada (50% DCF consenso / 50% múltiplos)</t>
  </si>
  <si>
    <t>⅓ cada método: $32.17</t>
  </si>
  <si>
    <t>Construida por el autor.</t>
  </si>
  <si>
    <t>Precio objetivo de analistas (media; 7 analistas)</t>
  </si>
  <si>
    <t>$18.50 – $30.00</t>
  </si>
  <si>
    <t>Mediana 22.00; calificación media 4.14/5 (Underperform)</t>
  </si>
  <si>
    <t>Estimación de analistas a 12 meses, no valor intrínseco.</t>
  </si>
  <si>
    <t>LSEG Refinitiv</t>
  </si>
  <si>
    <t>Mediana 21.50; 6 venta / 1 mantener; calificación 3.86/5 (Sell)</t>
  </si>
  <si>
    <t>Sin máximo ni mínimo reportados. No es valor intrínseco.</t>
  </si>
  <si>
    <t>LSEG Refinitiv · StarMine</t>
  </si>
  <si>
    <t>Valor intrínseco StarMine (aprox.)</t>
  </si>
  <si>
    <t>$49.50 – $52.50</t>
  </si>
  <si>
    <t>WACC y g no observables (paneles sin cargar)</t>
  </si>
  <si>
    <t>LEÍDO DE UNA GRÁFICA (±1.5): aproximado, no verificado numéricamente.</t>
  </si>
  <si>
    <t>17, 24</t>
  </si>
  <si>
    <t>Cada método con su fuente, fecha, supuestos y limitaciones. Solo DCF y Trading Comps del equipo forman el precio oficial; lo demás es referencia. StarMine relativo (solo puntajes): mercados emergentes 61, México 24, Consumer Staples 56, Food &amp; Staples Retailing 33 (p. 17). No se convierten a precio. Lectura: con la beta de regresión el DCF del equipo y el modelo individual usan la misma βU; las diferencias restantes vienen de la proyección, de la fecha y el precio de referencia (25-sep vs. 7-oct-2026), de la definición de EBITDA de CIQ y del estadístico usado (media vs. mediana).</t>
  </si>
  <si>
    <t>Fuente: Hoja Contraste externo del Excel · Soriana_Reporte_Valuacion_CapitalIQ_Refinitiv.pdf (19-oct-2026) · Unidades: MXN por acción</t>
  </si>
  <si>
    <t>Tabla 35. Diferencias explicadas</t>
  </si>
  <si>
    <t>Tema</t>
  </si>
  <si>
    <t>Fuente A</t>
  </si>
  <si>
    <t>Fuente B</t>
  </si>
  <si>
    <t>Se usa</t>
  </si>
  <si>
    <t>Explicación</t>
  </si>
  <si>
    <t>Beta del WACC (cambio del 19-oct-2026)</t>
  </si>
  <si>
    <t>Antes: βU Damodaran 0.69 (corregida por caja), hoy referencia: $31.62 · WACC 11.38%</t>
  </si>
  <si>
    <t>Ahora: βU 0.1705 (regresión semanal: βL observada 0.2178 desapalancada): $38.34 · WACC 9.56%</t>
  </si>
  <si>
    <t>Regresión semanal desapalancada</t>
  </si>
  <si>
    <t>Decisión del equipo. La βL observada se desapalanca con la estructura de la propia regresión (D/E 0.3964, t 30%) y se reapalanca con la del modelo; no se usa directamente. La pendiente no es significativa al 95% (p ≈ 0.09).</t>
  </si>
  <si>
    <t>Valor por acción (DCF), versiones anteriores</t>
  </si>
  <si>
    <t>ValuFlow anterior (Excel integrado, βU 0.65) · baseline histórico (Citi + βU 0.80): $32.41 · $31.16</t>
  </si>
  <si>
    <t>Excel PRO auditado con βU Damodaran 0.69 (oficial hasta el 19-oct-2026): $31.62</t>
  </si>
  <si>
    <t>Histórico (trazabilidad)</t>
  </si>
  <si>
    <t>El PRO corrige la beta por caja (0.65 → 0.69), deja la tendencia de mínimos cuadrados crecer con la inflación y normaliza el FCF del valor terminal (capex = D&amp;A).</t>
  </si>
  <si>
    <t>DCF del reporte comparativo ($39.21)</t>
  </si>
  <si>
    <t>Modelo individual (SORIANA_FINAL, 7-oct-2026): βU 0.1705 (regresión) · WACC 9.63% · $39.21</t>
  </si>
  <si>
    <t>Modelo del equipo (Excel PRO auditado): βU 0.1705 (regresión) · WACC 9.56% · $38.34</t>
  </si>
  <si>
    <t>Modelo del equipo</t>
  </si>
  <si>
    <t>Misma beta desapalancada; la diferencia restante viene de la proyección, la fecha y el precio de referencia (33.48 del 25-sep vs. 33.10 del 7-oct-2026).</t>
  </si>
  <si>
    <t>Muestra S&amp;P Capital IQ (3 operaciones, media): $40.73</t>
  </si>
  <si>
    <t>Muestra LSEG/SDC auditada (mediana EV/EBITDA): $23.74</t>
  </si>
  <si>
    <t>LSEG/SDC como referencia (peso 0%)</t>
  </si>
  <si>
    <t>La muestra CIQ no es defendible (1 de 3 en la ventana). La SDC es global, de control mixto y dispersa: se muestra como contraste, no entra al precio combinado.</t>
  </si>
  <si>
    <t>Modelo del equipo: $33.48 · cierre 25-sep-2026 (fecha de valuación 01-oct-2026)</t>
  </si>
  <si>
    <t>Reporte comparativo (CIQ / Refinitiv): $33.10 · cierre 7-oct-2026</t>
  </si>
  <si>
    <t>Modelo: $33.48</t>
  </si>
  <si>
    <t>Cada fuente se compara contra su propio precio y fecha; ningún cierre se presenta como precio del día.</t>
  </si>
  <si>
    <t>A valor de mercado (Kd histórico FY2025 13.0%): 10.06%</t>
  </si>
  <si>
    <t>Iterado al valor DCF (Kd prospectivo 10%): 9.56%</t>
  </si>
  <si>
    <t>Iterado (6 iteraciones)</t>
  </si>
  <si>
    <t>El de mercado es solo el punto de partida de la iteración.</t>
  </si>
  <si>
    <t>Deuda total</t>
  </si>
  <si>
    <t>Cierre 2025: 23,618 mdp</t>
  </si>
  <si>
    <t>2T26: 23,720.6 mdp</t>
  </si>
  <si>
    <t>Cierre 2025 para el EV; 2T26 para el puente a la fecha de valuación</t>
  </si>
  <si>
    <t>El modelo usa ambos saldos en etapas distintas.</t>
  </si>
  <si>
    <t>Capitalización de mercado</t>
  </si>
  <si>
    <t>Reportada (precio $30.10): 54,180 mdp</t>
  </si>
  <si>
    <t>Precio de referencia × acciones: 60,264 mdp</t>
  </si>
  <si>
    <t>Precio de referencia × 1,800 mm de acciones para el WACC de mercado</t>
  </si>
  <si>
    <t>El Excel recalcula E con el precio de referencia.</t>
  </si>
  <si>
    <t>Fuente: Excel PRO auditado · hoja Contraste externo y Auditoría</t>
  </si>
  <si>
    <t>13. Valuación combinada y recomendación</t>
  </si>
  <si>
    <t>Tabla 36. Ponderación de métodos</t>
  </si>
  <si>
    <t>Proyección Final Soriana!B265. Metodología principal existente. Peso: con Transactions en 0%, se conserva la regla de clase de pesos iguales entre los métodos activos (50/50).</t>
  </si>
  <si>
    <t>Trading Comps (sección 5). Metodología complementaria. Peso igual al DCF por la regla de pesos iguales de la diap. 18.</t>
  </si>
  <si>
    <t>Transacciones SDC (auditada): mediana de EV/EBITDA de las operaciones elegibles. Peso 0%: muestra global, sin operaciones mexicanas, control mixto y dispersión amplia. Se calcula y se muestra como referencia. La muestra CIQ (3 operaciones) queda como histórico.</t>
  </si>
  <si>
    <t>Diap. 18: pesos iguales (⅓) entre métodos; aquí 50/50 entre los métodos activos y Precedent Transactions 0% (referencia LSEG/SDC).</t>
  </si>
  <si>
    <t>Fuente: Excel PRO auditado · hoja Valuación Combinada</t>
  </si>
  <si>
    <t>Tabla 37. Recomendación</t>
  </si>
  <si>
    <t>Precio objetivo</t>
  </si>
  <si>
    <t>Umbral de compra / venta</t>
  </si>
  <si>
    <t>+10% / −10%</t>
  </si>
  <si>
    <t>Rango de valor razonable</t>
  </si>
  <si>
    <t>$28.99 a $38.34</t>
  </si>
  <si>
    <t>Fuente: Excel PRO auditado · hoja Transacciones SDC §7</t>
  </si>
  <si>
    <t>14. Escenarios y sensibilidad</t>
  </si>
  <si>
    <t>Tabla 38. Escenarios de inflación (modelo completo re-ejecutado)</t>
  </si>
  <si>
    <t>Ventas 2030E</t>
  </si>
  <si>
    <t>FCFF 2030E</t>
  </si>
  <si>
    <t>Valor por acción</t>
  </si>
  <si>
    <t>vs. mercado</t>
  </si>
  <si>
    <t>Base (activo)</t>
  </si>
  <si>
    <t>trayectoria</t>
  </si>
  <si>
    <t>Fuente: Excel PRO auditado · hojas Inflación y Escenarios</t>
  </si>
  <si>
    <t>Tabla 39. Tornado: una variable a la vez</t>
  </si>
  <si>
    <t>Valor bajo</t>
  </si>
  <si>
    <t>Valor alto</t>
  </si>
  <si>
    <t>±1 pp</t>
  </si>
  <si>
    <t>±0.5 pp</t>
  </si>
  <si>
    <t>±2 pp</t>
  </si>
  <si>
    <t>Múltiplo EV/EBITDA</t>
  </si>
  <si>
    <t>±1 x</t>
  </si>
  <si>
    <t>±4 pp</t>
  </si>
  <si>
    <t>Fuente: Motor ValuFlow (WACC y Ke fijos en el caso activo)</t>
  </si>
  <si>
    <t>Tabla 40. WACC vs. g</t>
  </si>
  <si>
    <t>2.50%</t>
  </si>
  <si>
    <t>3.00%</t>
  </si>
  <si>
    <t>3.50%</t>
  </si>
  <si>
    <t>4.00%</t>
  </si>
  <si>
    <t>4.50%</t>
  </si>
  <si>
    <t>WACC 8.56%</t>
  </si>
  <si>
    <t>WACC 9.06%</t>
  </si>
  <si>
    <t>WACC 9.56%</t>
  </si>
  <si>
    <t>WACC 10.06%</t>
  </si>
  <si>
    <t>WACC 10.56%</t>
  </si>
  <si>
    <t>WACC (filas) vs. g (columnas) · precio por acción Pasos: WACC y g ±0.5 pp (como la tabla del Excel), Δ ventas ±1 pp, Δ margen ±0.25 pp, múltiplo ±0.5x, Δ capex ±0.25 pp, Δ tasa ±2 pp. Ke fijo en el del caso base.</t>
  </si>
  <si>
    <t>Fuente: Motor ValuFlow · supuestos activos · Unidades: MXN por acción</t>
  </si>
  <si>
    <t>Tabla 41. Δ Ventas vs. Δ Margen EBIT</t>
  </si>
  <si>
    <t>-0.50</t>
  </si>
  <si>
    <t>-0.25</t>
  </si>
  <si>
    <t>+0.00</t>
  </si>
  <si>
    <t>+0.25</t>
  </si>
  <si>
    <t>+0.50</t>
  </si>
  <si>
    <t>Δ ventas -2.00</t>
  </si>
  <si>
    <t>Δ ventas -1.00</t>
  </si>
  <si>
    <t>Δ ventas +0.00</t>
  </si>
  <si>
    <t>Δ ventas +1.00</t>
  </si>
  <si>
    <t>Δ ventas +2.00</t>
  </si>
  <si>
    <t>Δ ventas (filas) vs. Δ margen (columnas) · precio por acción Pasos: WACC y g ±0.5 pp (como la tabla del Excel), Δ ventas ±1 pp, Δ margen ±0.25 pp, múltiplo ±0.5x, Δ capex ±0.25 pp, Δ tasa ±2 pp. Ke fijo en el del caso base.</t>
  </si>
  <si>
    <t>Tabla 42. WACC vs. múltiplo EV/EBITDA</t>
  </si>
  <si>
    <t>4.81x</t>
  </si>
  <si>
    <t>5.31x</t>
  </si>
  <si>
    <t>5.81x</t>
  </si>
  <si>
    <t>6.31x</t>
  </si>
  <si>
    <t>6.81x</t>
  </si>
  <si>
    <t>WACC (filas) vs. Múltiplo (columnas) · precio por acción Pasos: WACC y g ±0.5 pp (como la tabla del Excel), Δ ventas ±1 pp, Δ margen ±0.25 pp, múltiplo ±0.5x, Δ capex ±0.25 pp, Δ tasa ±2 pp. Ke fijo en el del caso base.</t>
  </si>
  <si>
    <t>Tabla 43. Δ Capex vs. Δ Tasa de impuestos</t>
  </si>
  <si>
    <t>-4.00</t>
  </si>
  <si>
    <t>-2.00</t>
  </si>
  <si>
    <t>+2.00</t>
  </si>
  <si>
    <t>+4.00</t>
  </si>
  <si>
    <t>Δ capex -0.50</t>
  </si>
  <si>
    <t>Δ capex -0.25</t>
  </si>
  <si>
    <t>Δ capex +0.00</t>
  </si>
  <si>
    <t>Δ capex +0.25</t>
  </si>
  <si>
    <t>Δ capex +0.50</t>
  </si>
  <si>
    <t>Δ capex (filas) vs. Δ tasa (columnas) · precio por acción Pasos: WACC y g ±0.5 pp (como la tabla del Excel), Δ ventas ±1 pp, Δ margen ±0.25 pp, múltiplo ±0.5x, Δ capex ±0.25 pp, Δ tasa ±2 pp. Ke fijo en el del caso base.</t>
  </si>
  <si>
    <t>15. Validaciones y auditoría del Excel</t>
  </si>
  <si>
    <t>Tabla 44. Comprobaciones de la app contra el Excel</t>
  </si>
  <si>
    <t>Grupo</t>
  </si>
  <si>
    <t>Comprobación</t>
  </si>
  <si>
    <t>Datos</t>
  </si>
  <si>
    <t>Acciones en circulación &gt; 0</t>
  </si>
  <si>
    <t>Cuadra</t>
  </si>
  <si>
    <t>Acciones: 1,800.0 mm</t>
  </si>
  <si>
    <t>Precio de mercado disponible</t>
  </si>
  <si>
    <t>Precio: $33.48</t>
  </si>
  <si>
    <t>Proyección completa (5 años)</t>
  </si>
  <si>
    <t>2026E · 2027E · 2028E · 2029E · 2030E</t>
  </si>
  <si>
    <t>WACC &gt; g</t>
  </si>
  <si>
    <t>9.56% &gt; 3.50%</t>
  </si>
  <si>
    <t>Iteración del WACC convergió</t>
  </si>
  <si>
    <t>6 iteraciones</t>
  </si>
  <si>
    <t>Σ VP de FCF = VPN explícito</t>
  </si>
  <si>
    <t>EV = VPN FCF + VP valor terminal</t>
  </si>
  <si>
    <t>Equity = EV − deuda neta</t>
  </si>
  <si>
    <t>Balance proyectado cuadra (activo = pasivo + capital)</t>
  </si>
  <si>
    <t>Máx. diferencia 0.000000</t>
  </si>
  <si>
    <t>FCF de la proyección = FCF descontado</t>
  </si>
  <si>
    <t>Proyección por drivers vs. motor DCF</t>
  </si>
  <si>
    <t>Escenarios de inflación ordenados (menor inflación → menor valor)</t>
  </si>
  <si>
    <t>Cautela $37.93 · Base $38.34 · Alcista $39.14</t>
  </si>
  <si>
    <t>Múltiplos</t>
  </si>
  <si>
    <t>Trading Comps · muestra con al menos 3 comparables</t>
  </si>
  <si>
    <t>7 comparables incluidos</t>
  </si>
  <si>
    <t>Trading Comps · al menos un múltiplo usado con precio</t>
  </si>
  <si>
    <t>3 múltiplos usados</t>
  </si>
  <si>
    <t>Precedent Transactions LSEG/SDC · operaciones elegibles</t>
  </si>
  <si>
    <t>9 de 23 operaciones evaluadas · 8 con EV/EBITDA</t>
  </si>
  <si>
    <t>Valuación combinada · pesos suman 100%</t>
  </si>
  <si>
    <t>DCF 50% · Trading Comps 50% · Precedent Transactions 0%</t>
  </si>
  <si>
    <t>Valuación combinada · todo método con peso tiene precio</t>
  </si>
  <si>
    <t>Sin métodos en NA con peso</t>
  </si>
  <si>
    <t>FCF 2026E</t>
  </si>
  <si>
    <t>FCF 2027E</t>
  </si>
  <si>
    <t>FCF 2028E</t>
  </si>
  <si>
    <t>FCF 2029E</t>
  </si>
  <si>
    <t>FCF 2030E</t>
  </si>
  <si>
    <t>WACC iterado</t>
  </si>
  <si>
    <t>VPN FCF 2026E–2030E</t>
  </si>
  <si>
    <t>VP valor terminal (Gordon)</t>
  </si>
  <si>
    <t>EV múltiplos</t>
  </si>
  <si>
    <t>Precio Gordon</t>
  </si>
  <si>
    <t>Precio múltiplos</t>
  </si>
  <si>
    <t>Precio ponderado (cierre de 2025)</t>
  </si>
  <si>
    <t>Potencial vs. precio</t>
  </si>
  <si>
    <t>Peso del valor terminal (Gordon)</t>
  </si>
  <si>
    <t>WACC a valor de mercado</t>
  </si>
  <si>
    <t>Ke a valor de mercado</t>
  </si>
  <si>
    <t>Valuación combinada</t>
  </si>
  <si>
    <t>Sensibilidad · fila WACC base</t>
  </si>
  <si>
    <t>35.54 · 36.83 · 38.34 · 40.12 · 42.25</t>
  </si>
  <si>
    <t>Proyección base · supuestos constantes</t>
  </si>
  <si>
    <t>Fuente: Motor ValuFlow · validate()</t>
  </si>
  <si>
    <t>Tabla 45. Auditoría del Excel PRO DEFINITIVO</t>
  </si>
  <si>
    <t>#</t>
  </si>
  <si>
    <t>Hoja / área</t>
  </si>
  <si>
    <t>Hallazgo</t>
  </si>
  <si>
    <t>Impacto</t>
  </si>
  <si>
    <t>Corrección / decisión</t>
  </si>
  <si>
    <t>Prueba</t>
  </si>
  <si>
    <t>1</t>
  </si>
  <si>
    <t>Compatibilidad</t>
  </si>
  <si>
    <t>Estadísticos con FILTER (Excel 365): en LibreOffice/Excel anterior dan #NAME? y n = 0.</t>
  </si>
  <si>
    <t>El modelo de transacciones no se recalcula fuera de Excel 365.</t>
  </si>
  <si>
    <t>Columnas auxiliares AE:AG y MIN/PERCENTILE/AVERAGE/MEDIAN.</t>
  </si>
  <si>
    <t>Validación: controles SDC (fila 62 en adelante).</t>
  </si>
  <si>
    <t>2</t>
  </si>
  <si>
    <t>Dato</t>
  </si>
  <si>
    <t>La columna "EV (USD mm)" es el Enterprise Value at Announcement; la pantalla también trae el Rank Value (valor de la operación), que no estaba.</t>
  </si>
  <si>
    <t>No se podía distinguir el tamaño de la operación de su EV.</t>
  </si>
  <si>
    <t>Se muestran ambos por separado (USD mm) con equivalente MXN informativo.</t>
  </si>
  <si>
    <t>Cotejo campo por campo contra la pantalla (19 + 4 operaciones).</t>
  </si>
  <si>
    <t>3</t>
  </si>
  <si>
    <t>Error de dato</t>
  </si>
  <si>
    <t>Operación 4172416040 rotulada "Chongqing Department Store / inversionista financiero". En la pantalla es Chengdu Hongqi Chain Co Ltd adquirida por Sichuan Shangtou Investment (Food &amp; Beverage Retailing).</t>
  </si>
  <si>
    <t>El motivo de exclusión ("formato departamental") no correspondía a la operación.</t>
  </si>
  <si>
    <t>Se corrige la identidad y se reaplican los criterios: elegible (cambio de control). Efecto cuantificado en la sección 4.</t>
  </si>
  <si>
    <t>Sección 4 de la hoja.</t>
  </si>
  <si>
    <t>4</t>
  </si>
  <si>
    <t>Criterios</t>
  </si>
  <si>
    <t>"Incluir" era un 1/0 capturado a mano, sin comprobar contra las columnas de criterios.</t>
  </si>
  <si>
    <t>Riesgo de inconsistencia entre criterio y decisión.</t>
  </si>
  <si>
    <t>Incluir = fórmula: ventana + ≥2 múltiplos + autoservicio + no recompra + juicio del analista (columna separada).</t>
  </si>
  <si>
    <t>Controles de criterios en Validación.</t>
  </si>
  <si>
    <t>5</t>
  </si>
  <si>
    <t>Cobertura</t>
  </si>
  <si>
    <t>Cuatro operaciones de autoservicio de la pantalla no estaban evaluadas (YAOKO, Better Life/Bubugao, Wincommerce/WinMart, Prosol/Grand Frais).</t>
  </si>
  <si>
    <t>Embudo de selección incompleto.</t>
  </si>
  <si>
    <t>Se agregan con su motivo de exclusión (recompra, reestructura judicial, reorganización intragrupo, dato no confiable).</t>
  </si>
  <si>
    <t>Filas marcadas "Agregada".</t>
  </si>
  <si>
    <t>6</t>
  </si>
  <si>
    <t>La ventana solo verificaba el inicio; no el fin (fecha de valuación).</t>
  </si>
  <si>
    <t>Sin efecto en esta muestra.</t>
  </si>
  <si>
    <t>Ventana = [inicio, fecha de valuación].</t>
  </si>
  <si>
    <t>Control de ventana.</t>
  </si>
  <si>
    <t>7</t>
  </si>
  <si>
    <t>Estadística</t>
  </si>
  <si>
    <t>El límite de atípicos solo era superior; la media sin atípicos no tenía mediana equivalente.</t>
  </si>
  <si>
    <t>Tratamiento estadístico incompleto.</t>
  </si>
  <si>
    <t>Límites inferior y superior (RIC) y mediana sin atípicos.</t>
  </si>
  <si>
    <t>Sección 3.</t>
  </si>
  <si>
    <t>8</t>
  </si>
  <si>
    <t>Valuación Combinada</t>
  </si>
  <si>
    <t>Metodología</t>
  </si>
  <si>
    <t>La referencia de Precedent Transactions seguía siendo la muestra CIQ (3 operaciones, declarada no defendible).</t>
  </si>
  <si>
    <t>El rango y la regla de ⅓ usaban un dato no defendible.</t>
  </si>
  <si>
    <t>Referencia = mediana SDC auditada (peso 0%); CIQ como memo histórico. El precio combinado oficial no cambia.</t>
  </si>
  <si>
    <t>Control "Combinada · PT = mediana SDC".</t>
  </si>
  <si>
    <t>9</t>
  </si>
  <si>
    <t>Proyección Final</t>
  </si>
  <si>
    <t>Presentación</t>
  </si>
  <si>
    <t>La tabla de sensibilidad (sección 7) mide el precio Gordon al cierre de 2025 (centro $29.19), no el precio objetivo final (B265).</t>
  </si>
  <si>
    <t>Lectura equivocada del rango del precio objetivo.</t>
  </si>
  <si>
    <t>Se rotula y se agrega la sección 12: sensibilidad del precio objetivo final (Ke fijo), igual a la de ValuFlow.</t>
  </si>
  <si>
    <t>Control "centro = B265".</t>
  </si>
  <si>
    <t>10</t>
  </si>
  <si>
    <t>Validación</t>
  </si>
  <si>
    <t>Filas 33–35 comparan contra valores registrados; la 34 compara un valor registrado consigo mismo (tautológica).</t>
  </si>
  <si>
    <t>Aparentan ser pruebas independientes.</t>
  </si>
  <si>
    <t>Se rotulan como controles de regresión. La tabla A se re-verificó recalculando las 6 combinaciones en LibreOffice: coinciden.</t>
  </si>
  <si>
    <t>tools/excel/audit_checks.py.</t>
  </si>
  <si>
    <t>11</t>
  </si>
  <si>
    <t>Las etiquetas de ventana (C189:C192) usan TEXT(fecha,"mmm-yy"): en Excel en español el código "yy" no existe y se muestra literal ("nov-yy a sep-yy").</t>
  </si>
  <si>
    <t>Etiqueta ilegible; no afecta cálculos.</t>
  </si>
  <si>
    <t>Se sustituye por una fórmula independiente del idioma (CHOOSE(MONTH) &amp; año).</t>
  </si>
  <si>
    <t>Recálculo: "nov-24 a sep-26".</t>
  </si>
  <si>
    <t>12</t>
  </si>
  <si>
    <t>Fuentes</t>
  </si>
  <si>
    <t>La fila de pesos apuntaba a "Valuación Combinada!C6:C8" (los pesos están en C4:C6) y no había registro de LSEG/SDC ni del contraste externo.</t>
  </si>
  <si>
    <t>Trazabilidad incompleta.</t>
  </si>
  <si>
    <t>Se corrige y se agregan 3 registros.</t>
  </si>
  <si>
    <t>13</t>
  </si>
  <si>
    <t>WACC / Beta</t>
  </si>
  <si>
    <t>Cambio de supuesto (decisión del equipo, 19-oct-2026)</t>
  </si>
  <si>
    <t>La βU oficial pasa de Damodaran 0.69 (corregida por caja) a la beta desapalancada de la regresión semanal de Soriana B contra el IPC: βL observada 0.2178 (p = 0.087, no significativa al 95%) desapalancada con D/E 23,618 / 59,580 y t 30% → βU 0.1705 (fórmula en Beta y Kd §2). Se reapalanca con la estructura de capital de este libro (WACC!B23 a mercado; D/E del DCF en la iteración), sin volver a usar la βL observada.</t>
  </si>
  <si>
    <t>Resultados anteriores con βU 0.69 (para trazabilidad): DCF $31.62, Ke 13.35%, WACC iterado 11.38%, precio combinado $32.55, MANTENER. Los nuevos resultados salen de las fórmulas (tabla A, columna F).</t>
  </si>
  <si>
    <t>Selector 'Beta y Kd'!B18 = 2 (regresión, oficial); 1 = Damodaran 0.69 (referencia, tabla A columna H); 0 = heredada 0.80 (histórico).</t>
  </si>
  <si>
    <t>Tabla A recalculada en LibreOffice con cada combinación; control βU usada = selector.</t>
  </si>
  <si>
    <t>14</t>
  </si>
  <si>
    <t>Revisado, sin cambio</t>
  </si>
  <si>
    <t>Secuencia ventas → EBIT → NOPAT → FCFF → WACC → VT (Gordon con FCF normalizado capex = D&amp;A; múltiplo 5.81x) → EV → puente al 2T26 → Equity a la fecha de valuación. FCFF descontado al WACC (no se mezclan flujos al accionista). Balance cuadra; iteración converge.</t>
  </si>
  <si>
    <t>Sin cambios.</t>
  </si>
  <si>
    <t>Recálculo independiente y controles 23–32.</t>
  </si>
  <si>
    <t>15</t>
  </si>
  <si>
    <t>Fechas</t>
  </si>
  <si>
    <t>Fecha de valuación 01-oct-2026; precio 33.48 MXN del 25-sep-2026 (último cierre antes de la valuación); balance 2T26; comparables CIQ al 30-jun-2026; pantalla SDC 19-oct-2026; reporte comparativo 19-oct-2026 con precio 33.10 MXN del 7-oct-2026.</t>
  </si>
  <si>
    <t>Cada fecha cumple una función distinta.</t>
  </si>
  <si>
    <t>Se rotulan en cada salida; el precio nunca se presenta como "del día".</t>
  </si>
  <si>
    <t>Original: "EXCEL FINAL PRO DEFINITIVO SORIANA.xlsx" (se conserva sin cambios). Este libro se genera con tools/excel/audit_pro.py. Recálculo independiente en LibreOffice: todas las fórmulas del original coinciden con sus valores guardados, salvo las 16 con FILTER de la hoja SDC (#NAME? fuera de Excel 365), que se sustituyen.</t>
  </si>
  <si>
    <t>Fuente: Excel · hoja Auditoría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</si>
</sst>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0.0000"/>
    <numFmt numFmtId="165" formatCode="#,##0.0"/>
    <numFmt numFmtId="166" formatCode="0.00&quot;x&quot;"/>
    <numFmt numFmtId="167" formatCode="0.000000"/>
    <numFmt numFmtId="168" formatCode="#,##0.000"/>
    <numFmt numFmtId="169" formatCode="$#,##0.00"/>
    <numFmt numFmtId="170" formatCode="0.0000%"/>
    <numFmt numFmtId="171" formatCode="+0.0%;-0.0%"/>
    <numFmt numFmtId="172" formatCode="0.0%"/>
    <numFmt numFmtId="173" formatCode="0.000000000000000"/>
    <numFmt numFmtId="174" formatCode="0.000%"/>
    <numFmt numFmtId="175" formatCode="+0.00%;-0.00%"/>
    <numFmt numFmtId="176" formatCode="0.000"/>
    <numFmt numFmtId="177" formatCode="0.000&quot;x&quot;"/>
    <numFmt numFmtId="178" formatCode="#,##0.0;(#,##0.0)"/>
    <numFmt numFmtId="179" formatCode="0.0"/>
    <numFmt numFmtId="180" formatCode="0.0&quot;x&quot;"/>
  </numFmts>
  <fonts count="8" x14ac:knownFonts="1">
    <font>
      <color theme="1"/>
      <family val="2"/>
      <scheme val="minor"/>
      <sz val="11"/>
      <name val="Calibri"/>
    </font>
    <font>
      <b/>
      <color rgb="FF1D2D3D"/>
      <sz val="14"/>
    </font>
    <font>
      <i/>
      <color rgb="FF5D5D60"/>
      <sz val="9"/>
    </font>
    <font>
      <b/>
      <color rgb="FF1D2D3D"/>
    </font>
    <font>
      <b/>
      <color rgb="FFFFFFFF"/>
    </font>
    <font>
      <b/>
      <color rgb="FF1F4E79"/>
    </font>
    <font>
      <b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416180"/>
      </patternFill>
    </fill>
    <fill>
      <patternFill patternType="solid">
        <fgColor rgb="FFEC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0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9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0" fillId="0" borderId="0" xfId="0" applyNumberFormat="1"/>
    <xf numFmtId="164" fontId="0" fillId="0" borderId="0" xfId="0" applyNumberFormat="1"/>
    <xf numFmtId="170" fontId="0" fillId="0" borderId="0" xfId="0" applyNumberFormat="1"/>
    <xf numFmtId="0" fontId="6" fillId="0" borderId="0" xfId="0" applyFont="1"/>
    <xf numFmtId="170" fontId="6" fillId="0" borderId="0" xfId="0" applyNumberFormat="1" applyFont="1"/>
    <xf numFmtId="1" fontId="0" fillId="0" borderId="0" xfId="0" applyNumberFormat="1"/>
    <xf numFmtId="165" fontId="0" fillId="3" borderId="0" xfId="0" applyNumberFormat="1" applyFill="1"/>
    <xf numFmtId="10" fontId="0" fillId="3" borderId="0" xfId="0" applyNumberFormat="1" applyFill="1"/>
    <xf numFmtId="165" fontId="6" fillId="0" borderId="0" xfId="0" applyNumberFormat="1" applyFont="1"/>
    <xf numFmtId="1" fontId="0" fillId="3" borderId="0" xfId="0" applyNumberFormat="1" applyFill="1"/>
    <xf numFmtId="167" fontId="0" fillId="0" borderId="0" xfId="0" applyNumberFormat="1"/>
    <xf numFmtId="169" fontId="6" fillId="0" borderId="0" xfId="0" applyNumberFormat="1" applyFont="1"/>
    <xf numFmtId="169" fontId="0" fillId="0" borderId="0" xfId="0" applyNumberFormat="1"/>
    <xf numFmtId="171" fontId="0" fillId="0" borderId="0" xfId="0" applyNumberFormat="1"/>
    <xf numFmtId="3" fontId="0" fillId="0" borderId="0" xfId="0" applyNumberFormat="1"/>
    <xf numFmtId="166" fontId="0" fillId="0" borderId="0" xfId="0" applyNumberFormat="1"/>
    <xf numFmtId="9" fontId="0" fillId="0" borderId="0" xfId="0" applyNumberFormat="1"/>
    <xf numFmtId="49" fontId="6" fillId="0" borderId="0" xfId="0" applyNumberFormat="1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172" fontId="0" fillId="0" borderId="0" xfId="0" applyNumberFormat="1" applyAlignment="1">
      <alignment horizontal="right"/>
    </xf>
    <xf numFmtId="10" fontId="0" fillId="3" borderId="0" xfId="0" applyNumberFormat="1" applyFill="1" applyAlignment="1">
      <alignment horizontal="right"/>
    </xf>
    <xf numFmtId="10" fontId="0" fillId="0" borderId="0" xfId="0" applyNumberFormat="1" applyAlignment="1">
      <alignment horizontal="right"/>
    </xf>
    <xf numFmtId="173" fontId="0" fillId="3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0" fontId="7" fillId="0" borderId="0" xfId="0" applyFont="1"/>
    <xf numFmtId="169" fontId="0" fillId="0" borderId="0" xfId="0" applyNumberFormat="1" applyAlignment="1">
      <alignment horizontal="right"/>
    </xf>
    <xf numFmtId="0" fontId="6" fillId="3" borderId="0" xfId="0" applyFont="1" applyFill="1" applyAlignment="1">
      <alignment vertical="top" wrapText="1"/>
    </xf>
    <xf numFmtId="10" fontId="6" fillId="3" borderId="0" xfId="0" applyNumberFormat="1" applyFont="1" applyFill="1" applyAlignment="1">
      <alignment horizontal="right"/>
    </xf>
    <xf numFmtId="169" fontId="6" fillId="3" borderId="0" xfId="0" applyNumberFormat="1" applyFont="1" applyFill="1" applyAlignment="1">
      <alignment horizontal="right"/>
    </xf>
    <xf numFmtId="0" fontId="6" fillId="3" borderId="0" xfId="0" applyFont="1" applyFill="1" applyAlignment="1">
      <alignment vertical="top"/>
    </xf>
    <xf numFmtId="169" fontId="0" fillId="3" borderId="0" xfId="0" applyNumberFormat="1" applyFill="1" applyAlignment="1">
      <alignment horizontal="right"/>
    </xf>
    <xf numFmtId="175" fontId="0" fillId="0" borderId="0" xfId="0" applyNumberFormat="1" applyAlignment="1">
      <alignment horizontal="right"/>
    </xf>
    <xf numFmtId="175" fontId="0" fillId="3" borderId="0" xfId="0" applyNumberFormat="1" applyFill="1" applyAlignment="1">
      <alignment horizontal="right"/>
    </xf>
    <xf numFmtId="9" fontId="0" fillId="0" borderId="0" xfId="0" applyNumberFormat="1" applyAlignment="1">
      <alignment horizontal="right"/>
    </xf>
    <xf numFmtId="175" fontId="6" fillId="3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5" fontId="6" fillId="3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right"/>
    </xf>
    <xf numFmtId="176" fontId="0" fillId="3" borderId="0" xfId="0" applyNumberFormat="1" applyFill="1" applyAlignment="1">
      <alignment horizontal="right"/>
    </xf>
    <xf numFmtId="174" fontId="0" fillId="3" borderId="0" xfId="0" applyNumberFormat="1" applyFill="1" applyAlignment="1">
      <alignment horizontal="right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horizontal="right"/>
    </xf>
    <xf numFmtId="2" fontId="0" fillId="3" borderId="0" xfId="0" applyNumberForma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5" fontId="0" fillId="3" borderId="0" xfId="0" applyNumberFormat="1" applyFill="1" applyAlignment="1">
      <alignment horizontal="right"/>
    </xf>
    <xf numFmtId="10" fontId="6" fillId="0" borderId="0" xfId="0" applyNumberFormat="1" applyFont="1" applyAlignment="1">
      <alignment horizontal="right"/>
    </xf>
    <xf numFmtId="177" fontId="0" fillId="3" borderId="0" xfId="0" applyNumberFormat="1" applyFill="1" applyAlignment="1">
      <alignment horizontal="right"/>
    </xf>
    <xf numFmtId="0" fontId="6" fillId="0" borderId="0" xfId="0" applyFont="1" applyAlignment="1">
      <alignment vertical="top"/>
    </xf>
    <xf numFmtId="178" fontId="0" fillId="0" borderId="0" xfId="0" applyNumberFormat="1" applyAlignment="1">
      <alignment horizontal="right"/>
    </xf>
    <xf numFmtId="165" fontId="6" fillId="0" borderId="0" xfId="0" applyNumberFormat="1" applyFont="1" applyAlignment="1">
      <alignment horizontal="right"/>
    </xf>
    <xf numFmtId="179" fontId="0" fillId="3" borderId="0" xfId="0" applyNumberFormat="1" applyFill="1" applyAlignment="1">
      <alignment horizontal="right"/>
    </xf>
    <xf numFmtId="178" fontId="0" fillId="3" borderId="0" xfId="0" applyNumberFormat="1" applyFill="1" applyAlignment="1">
      <alignment horizontal="right"/>
    </xf>
    <xf numFmtId="179" fontId="0" fillId="0" borderId="0" xfId="0" applyNumberFormat="1" applyAlignment="1">
      <alignment horizontal="right"/>
    </xf>
    <xf numFmtId="169" fontId="6" fillId="0" borderId="0" xfId="0" applyNumberFormat="1" applyFont="1" applyAlignment="1">
      <alignment horizontal="right"/>
    </xf>
    <xf numFmtId="17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72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180" fontId="0" fillId="3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4" fontId="0" fillId="3" borderId="0" xfId="0" applyNumberFormat="1" applyFill="1" applyAlignment="1">
      <alignment horizontal="right"/>
    </xf>
    <xf numFmtId="166" fontId="6" fillId="0" borderId="0" xfId="0" applyNumberFormat="1" applyFont="1" applyAlignment="1">
      <alignment horizontal="right"/>
    </xf>
    <xf numFmtId="180" fontId="6" fillId="0" borderId="0" xfId="0" applyNumberFormat="1" applyFont="1" applyAlignment="1">
      <alignment horizontal="right"/>
    </xf>
    <xf numFmtId="178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3" borderId="0" xfId="0" applyNumberFormat="1" applyFont="1" applyFill="1" applyAlignment="1">
      <alignment horizontal="right"/>
    </xf>
    <xf numFmtId="180" fontId="6" fillId="3" borderId="0" xfId="0" applyNumberFormat="1" applyFont="1" applyFill="1" applyAlignment="1">
      <alignment horizontal="right"/>
    </xf>
    <xf numFmtId="166" fontId="6" fillId="3" borderId="0" xfId="0" applyNumberFormat="1" applyFont="1" applyFill="1" applyAlignment="1">
      <alignment horizontal="right"/>
    </xf>
    <xf numFmtId="179" fontId="6" fillId="3" borderId="0" xfId="0" applyNumberFormat="1" applyFont="1" applyFill="1" applyAlignment="1">
      <alignment horizontal="right"/>
    </xf>
    <xf numFmtId="179" fontId="6" fillId="0" borderId="0" xfId="0" applyNumberFormat="1" applyFont="1" applyAlignment="1">
      <alignment horizontal="right"/>
    </xf>
    <xf numFmtId="3" fontId="0" fillId="3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1" fontId="6" fillId="0" borderId="0" xfId="0" applyNumberFormat="1" applyFont="1" applyAlignment="1">
      <alignment horizontal="right"/>
    </xf>
    <xf numFmtId="171" fontId="0" fillId="3" borderId="0" xfId="0" applyNumberFormat="1" applyFill="1" applyAlignment="1">
      <alignment horizontal="right"/>
    </xf>
    <xf numFmtId="9" fontId="0" fillId="3" borderId="0" xfId="0" applyNumberFormat="1" applyFill="1" applyAlignment="1">
      <alignment horizontal="right"/>
    </xf>
    <xf numFmtId="9" fontId="6" fillId="3" borderId="0" xfId="0" applyNumberFormat="1" applyFont="1" applyFill="1" applyAlignment="1">
      <alignment horizontal="right"/>
    </xf>
    <xf numFmtId="171" fontId="6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33</xdr:row>
      <xdr:rowOff>0</xdr:rowOff>
    </xdr:from>
    <xdr:ext cx="6477000" cy="457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26</xdr:row>
      <xdr:rowOff>0</xdr:rowOff>
    </xdr:from>
    <xdr:ext cx="5334000" cy="28336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5334000" cy="2667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6477000" cy="3058583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6096000" cy="2381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17</xdr:row>
      <xdr:rowOff>0</xdr:rowOff>
    </xdr:from>
    <xdr:ext cx="5334000" cy="2667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6477000" cy="457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38</xdr:row>
      <xdr:rowOff>0</xdr:rowOff>
    </xdr:from>
    <xdr:ext cx="51435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33</xdr:row>
      <xdr:rowOff>0</xdr:rowOff>
    </xdr:from>
    <xdr:ext cx="5143500" cy="273248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105</xdr:row>
      <xdr:rowOff>0</xdr:rowOff>
    </xdr:from>
    <xdr:ext cx="51435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51435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14</xdr:row>
      <xdr:rowOff>0</xdr:rowOff>
    </xdr:from>
    <xdr:ext cx="51435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31</xdr:row>
      <xdr:rowOff>0</xdr:rowOff>
    </xdr:from>
    <xdr:ext cx="6477000" cy="305858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96</xdr:row>
      <xdr:rowOff>0</xdr:rowOff>
    </xdr:from>
    <xdr:ext cx="6477000" cy="253007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35</xdr:row>
      <xdr:rowOff>0</xdr:rowOff>
    </xdr:from>
    <xdr:ext cx="6477000" cy="4371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51435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62</xdr:row>
      <xdr:rowOff>0</xdr:rowOff>
    </xdr:from>
    <xdr:ext cx="51435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6477000" cy="3056334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5143500" cy="2732484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1"/>
  <sheetFormatPr defaultRowHeight="15" outlineLevelRow="0" outlineLevelCol="0" x14ac:dyDescent="55"/>
  <cols>
    <col min="1" max="1" width="46" customWidth="1"/>
    <col min="2" max="2" width="70" customWidth="1"/>
    <col min="3" max="3" width="2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" x14ac:dyDescent="0.25">
      <c r="A9" s="3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6" ht="30" customHeight="1" spans="1:2" x14ac:dyDescent="0.25">
      <c r="A16" s="4" t="s">
        <v>21</v>
      </c>
      <c r="B16" s="5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8</v>
      </c>
      <c r="B18" t="s">
        <v>9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34</v>
      </c>
    </row>
    <row r="24" spans="1:2" x14ac:dyDescent="0.25">
      <c r="A24" t="s">
        <v>35</v>
      </c>
      <c r="B24" t="s">
        <v>36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39</v>
      </c>
      <c r="B26" t="s">
        <v>40</v>
      </c>
    </row>
    <row r="27" spans="1:2" x14ac:dyDescent="0.25">
      <c r="A27" t="s">
        <v>41</v>
      </c>
      <c r="B27" t="s">
        <v>42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46</v>
      </c>
    </row>
    <row r="31" spans="1:1" x14ac:dyDescent="0.25">
      <c r="A31" s="2" t="s">
        <v>47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6" customWidth="1"/>
    <col min="3" max="3" width="11" customWidth="1"/>
    <col min="4" max="4" width="44" customWidth="1"/>
  </cols>
  <sheetData>
    <row r="1" spans="1:1" x14ac:dyDescent="0.25">
      <c r="A1" s="1" t="s">
        <v>48</v>
      </c>
    </row>
    <row r="2" spans="1:1" x14ac:dyDescent="0.25">
      <c r="A2" s="2" t="s">
        <v>49</v>
      </c>
    </row>
    <row r="3" ht="30" customHeight="1" spans="1:4" x14ac:dyDescent="0.25">
      <c r="A3" s="4" t="s">
        <v>50</v>
      </c>
      <c r="B3" s="5" t="s">
        <v>22</v>
      </c>
      <c r="C3" s="5" t="s">
        <v>51</v>
      </c>
      <c r="D3" s="5" t="s">
        <v>52</v>
      </c>
    </row>
    <row r="4" spans="1:4" x14ac:dyDescent="0.25">
      <c r="A4" t="s">
        <v>53</v>
      </c>
      <c r="B4" s="6">
        <v>0.09517000000000002</v>
      </c>
      <c r="C4" t="s">
        <v>54</v>
      </c>
      <c r="D4" t="s">
        <v>55</v>
      </c>
    </row>
    <row r="5" spans="1:4" x14ac:dyDescent="0.25">
      <c r="A5" t="s">
        <v>56</v>
      </c>
      <c r="B5" s="6">
        <v>0.0423</v>
      </c>
      <c r="C5" t="s">
        <v>54</v>
      </c>
      <c r="D5" t="s">
        <v>57</v>
      </c>
    </row>
    <row r="6" spans="1:4" x14ac:dyDescent="0.25">
      <c r="A6" t="s">
        <v>58</v>
      </c>
      <c r="B6" s="7">
        <v>0.170520815748403</v>
      </c>
      <c r="C6" t="s">
        <v>59</v>
      </c>
      <c r="D6" t="s">
        <v>60</v>
      </c>
    </row>
    <row r="7" spans="1:4" x14ac:dyDescent="0.25">
      <c r="A7" t="s">
        <v>61</v>
      </c>
      <c r="B7" s="8">
        <v>23618</v>
      </c>
      <c r="C7" t="s">
        <v>62</v>
      </c>
      <c r="D7" t="s">
        <v>63</v>
      </c>
    </row>
    <row r="8" spans="1:4" x14ac:dyDescent="0.25">
      <c r="A8" t="s">
        <v>64</v>
      </c>
      <c r="B8" s="6">
        <v>0.3</v>
      </c>
      <c r="C8" t="s">
        <v>54</v>
      </c>
      <c r="D8" t="s">
        <v>57</v>
      </c>
    </row>
    <row r="9" spans="1:4" x14ac:dyDescent="0.25">
      <c r="A9" t="s">
        <v>65</v>
      </c>
      <c r="B9" s="6">
        <v>0.1</v>
      </c>
      <c r="C9" t="s">
        <v>54</v>
      </c>
      <c r="D9" t="s">
        <v>66</v>
      </c>
    </row>
    <row r="10" spans="1:4" x14ac:dyDescent="0.25">
      <c r="A10" t="s">
        <v>67</v>
      </c>
      <c r="B10" s="6">
        <v>0.035</v>
      </c>
      <c r="C10" t="s">
        <v>54</v>
      </c>
      <c r="D10" t="s">
        <v>68</v>
      </c>
    </row>
    <row r="11" spans="1:4" x14ac:dyDescent="0.25">
      <c r="A11" t="s">
        <v>69</v>
      </c>
      <c r="B11" s="9">
        <v>5.81077201362635</v>
      </c>
      <c r="C11" t="s">
        <v>59</v>
      </c>
      <c r="D11" t="s">
        <v>70</v>
      </c>
    </row>
    <row r="12" spans="1:4" x14ac:dyDescent="0.25">
      <c r="A12" t="s">
        <v>71</v>
      </c>
      <c r="B12" s="10">
        <v>0.5</v>
      </c>
      <c r="C12" t="s">
        <v>54</v>
      </c>
      <c r="D12" t="s">
        <v>72</v>
      </c>
    </row>
    <row r="13" spans="1:4" x14ac:dyDescent="0.25">
      <c r="A13" t="s">
        <v>73</v>
      </c>
      <c r="B13" s="8">
        <v>11500</v>
      </c>
      <c r="C13" t="s">
        <v>62</v>
      </c>
      <c r="D13" t="s">
        <v>74</v>
      </c>
    </row>
    <row r="14" spans="1:4" x14ac:dyDescent="0.25">
      <c r="A14" t="s">
        <v>75</v>
      </c>
      <c r="B14" s="8">
        <v>12118</v>
      </c>
      <c r="C14" t="s">
        <v>62</v>
      </c>
      <c r="D14" t="s">
        <v>74</v>
      </c>
    </row>
    <row r="15" spans="1:4" x14ac:dyDescent="0.25">
      <c r="A15" t="s">
        <v>76</v>
      </c>
      <c r="B15" s="8">
        <v>9295</v>
      </c>
      <c r="C15" t="s">
        <v>62</v>
      </c>
      <c r="D15" t="s">
        <v>74</v>
      </c>
    </row>
    <row r="16" spans="1:4" x14ac:dyDescent="0.25">
      <c r="A16" t="s">
        <v>77</v>
      </c>
      <c r="B16" s="11">
        <v>0.5</v>
      </c>
      <c r="C16" t="s">
        <v>78</v>
      </c>
      <c r="D16" t="s">
        <v>79</v>
      </c>
    </row>
    <row r="17" spans="1:4" x14ac:dyDescent="0.25">
      <c r="A17" t="s">
        <v>80</v>
      </c>
      <c r="B17" s="12">
        <v>1060.497</v>
      </c>
      <c r="C17" t="s">
        <v>62</v>
      </c>
      <c r="D17" t="s">
        <v>81</v>
      </c>
    </row>
    <row r="18" spans="1:4" x14ac:dyDescent="0.25">
      <c r="A18" t="s">
        <v>82</v>
      </c>
      <c r="B18" s="8">
        <v>11500</v>
      </c>
      <c r="C18" t="s">
        <v>62</v>
      </c>
      <c r="D18" t="s">
        <v>83</v>
      </c>
    </row>
    <row r="19" spans="1:4" x14ac:dyDescent="0.25">
      <c r="A19" t="s">
        <v>84</v>
      </c>
      <c r="B19" s="8">
        <v>12220.588</v>
      </c>
      <c r="C19" t="s">
        <v>62</v>
      </c>
      <c r="D19" t="s">
        <v>83</v>
      </c>
    </row>
    <row r="20" spans="1:4" x14ac:dyDescent="0.25">
      <c r="A20" t="s">
        <v>85</v>
      </c>
      <c r="B20" s="8">
        <v>6875.384</v>
      </c>
      <c r="C20" t="s">
        <v>62</v>
      </c>
      <c r="D20" t="s">
        <v>83</v>
      </c>
    </row>
    <row r="21" spans="1:4" x14ac:dyDescent="0.25">
      <c r="A21" t="s">
        <v>86</v>
      </c>
      <c r="B21" s="11">
        <v>0.252777777777778</v>
      </c>
      <c r="C21" t="s">
        <v>78</v>
      </c>
      <c r="D21" t="s">
        <v>79</v>
      </c>
    </row>
    <row r="22" spans="1:4" x14ac:dyDescent="0.25">
      <c r="A22" t="s">
        <v>87</v>
      </c>
      <c r="B22" s="8">
        <v>1800</v>
      </c>
      <c r="C22" t="s">
        <v>88</v>
      </c>
      <c r="D22" t="s">
        <v>57</v>
      </c>
    </row>
    <row r="23" spans="1:4" x14ac:dyDescent="0.25">
      <c r="A23" t="s">
        <v>6</v>
      </c>
      <c r="B23" s="13">
        <v>33.48</v>
      </c>
      <c r="C23" t="s">
        <v>89</v>
      </c>
      <c r="D23" t="s">
        <v>7</v>
      </c>
    </row>
    <row r="24" spans="1:4" x14ac:dyDescent="0.25">
      <c r="A24" t="s">
        <v>90</v>
      </c>
      <c r="B24" s="8">
        <v>11810.871</v>
      </c>
      <c r="C24" t="s">
        <v>62</v>
      </c>
      <c r="D24" t="s">
        <v>91</v>
      </c>
    </row>
    <row r="25" spans="1:4" x14ac:dyDescent="0.25">
      <c r="A25" t="s">
        <v>92</v>
      </c>
      <c r="B25" s="8">
        <v>-16845.203999999998</v>
      </c>
      <c r="C25" t="s">
        <v>62</v>
      </c>
      <c r="D25" t="s">
        <v>93</v>
      </c>
    </row>
    <row r="26" spans="1:4" x14ac:dyDescent="0.25">
      <c r="A26" t="s">
        <v>94</v>
      </c>
      <c r="B26" s="8">
        <v>1800</v>
      </c>
      <c r="C26" t="s">
        <v>88</v>
      </c>
      <c r="D26" t="s">
        <v>93</v>
      </c>
    </row>
    <row r="27" spans="1:4" x14ac:dyDescent="0.25">
      <c r="A27" t="s">
        <v>95</v>
      </c>
      <c r="B27" s="10">
        <v>0.1</v>
      </c>
      <c r="C27" t="s">
        <v>54</v>
      </c>
      <c r="D27" t="s">
        <v>96</v>
      </c>
    </row>
    <row r="28" spans="1:4" x14ac:dyDescent="0.25">
      <c r="A28" t="s">
        <v>97</v>
      </c>
      <c r="B28" s="10">
        <v>-0.1</v>
      </c>
      <c r="C28" t="s">
        <v>54</v>
      </c>
      <c r="D28" t="s">
        <v>96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6" customWidth="1"/>
    <col min="3" max="3" width="26" customWidth="1"/>
    <col min="4" max="4" width="16" customWidth="1"/>
    <col min="5" max="7" width="12" customWidth="1"/>
  </cols>
  <sheetData>
    <row r="1" spans="1:1" x14ac:dyDescent="0.25">
      <c r="A1" s="1" t="s">
        <v>98</v>
      </c>
    </row>
    <row r="2" spans="1:1" x14ac:dyDescent="0.25">
      <c r="A2" s="2" t="s">
        <v>99</v>
      </c>
    </row>
    <row r="3" ht="30" customHeight="1" spans="1:4" x14ac:dyDescent="0.25">
      <c r="A3" s="4" t="s">
        <v>100</v>
      </c>
      <c r="B3" s="5" t="s">
        <v>22</v>
      </c>
      <c r="C3" s="5" t="s">
        <v>101</v>
      </c>
      <c r="D3" s="5" t="s">
        <v>102</v>
      </c>
    </row>
    <row r="4" spans="1:3" x14ac:dyDescent="0.25">
      <c r="A4" t="s">
        <v>103</v>
      </c>
      <c r="B4" s="14">
        <v>71948.05786029065</v>
      </c>
      <c r="C4" t="s">
        <v>104</v>
      </c>
    </row>
    <row r="5" spans="1:4" x14ac:dyDescent="0.25">
      <c r="A5" t="s">
        <v>105</v>
      </c>
      <c r="B5" s="15">
        <f>Supuestos!$B$7/B4</f>
      </c>
      <c r="C5" t="s">
        <v>106</v>
      </c>
      <c r="D5" s="15">
        <v>0.32826459396390706</v>
      </c>
    </row>
    <row r="6" spans="1:4" x14ac:dyDescent="0.25">
      <c r="A6" t="s">
        <v>107</v>
      </c>
      <c r="B6" s="15">
        <f>Supuestos!$B$6*(1+(1-Supuestos!$B$8)*B5)</f>
      </c>
      <c r="C6" t="s">
        <v>108</v>
      </c>
      <c r="D6" s="15">
        <v>0.2097039781892336</v>
      </c>
    </row>
    <row r="7" spans="1:4" x14ac:dyDescent="0.25">
      <c r="A7" t="s">
        <v>109</v>
      </c>
      <c r="B7" s="16">
        <f>Supuestos!$B$4+B6*Supuestos!$B$5</f>
      </c>
      <c r="C7" t="s">
        <v>110</v>
      </c>
      <c r="D7" s="16">
        <v>0.10404047827740459</v>
      </c>
    </row>
    <row r="8" spans="1:4" x14ac:dyDescent="0.25">
      <c r="A8" t="s">
        <v>111</v>
      </c>
      <c r="B8" s="16">
        <f>Supuestos!$B$9*(1-Supuestos!$B$8)</f>
      </c>
      <c r="C8" t="s">
        <v>112</v>
      </c>
      <c r="D8" s="16">
        <v>0.06999999999999999</v>
      </c>
    </row>
    <row r="9" spans="1:4" x14ac:dyDescent="0.25">
      <c r="A9" t="s">
        <v>113</v>
      </c>
      <c r="B9" s="16">
        <f>B4/(B4+Supuestos!$B$7)</f>
      </c>
      <c r="C9" t="s">
        <v>114</v>
      </c>
      <c r="D9" s="16">
        <v>0.7528620461196852</v>
      </c>
    </row>
    <row r="10" spans="1:4" x14ac:dyDescent="0.25">
      <c r="A10" t="s">
        <v>115</v>
      </c>
      <c r="B10" s="16">
        <f>Supuestos!$B$7/(B4+Supuestos!$B$7)</f>
      </c>
      <c r="C10" t="s">
        <v>116</v>
      </c>
      <c r="D10" s="16">
        <v>0.24713795388031473</v>
      </c>
    </row>
    <row r="11" spans="1:4" x14ac:dyDescent="0.25">
      <c r="A11" s="17" t="s">
        <v>117</v>
      </c>
      <c r="B11" s="18">
        <f>B9*B7+B10*B8</f>
      </c>
      <c r="C11" t="s">
        <v>118</v>
      </c>
      <c r="D11" s="16">
        <v>0.0956277841268195</v>
      </c>
    </row>
    <row r="12" spans="1:2" x14ac:dyDescent="0.25">
      <c r="A12" t="s">
        <v>119</v>
      </c>
      <c r="B12" t="s">
        <v>120</v>
      </c>
    </row>
    <row r="13" spans="1:2" x14ac:dyDescent="0.25">
      <c r="A13" t="s">
        <v>121</v>
      </c>
      <c r="B13" s="18">
        <f>B11</f>
      </c>
    </row>
    <row r="14" spans="1:2" x14ac:dyDescent="0.25">
      <c r="A14" t="s">
        <v>122</v>
      </c>
      <c r="B14" s="16">
        <f>B7</f>
      </c>
    </row>
    <row r="17" spans="1:1" x14ac:dyDescent="0.25">
      <c r="A17" s="3" t="s">
        <v>123</v>
      </c>
    </row>
    <row r="18" ht="30" customHeight="1" spans="1:7" x14ac:dyDescent="0.25">
      <c r="A18" s="4" t="s">
        <v>124</v>
      </c>
      <c r="B18" s="5" t="s">
        <v>125</v>
      </c>
      <c r="C18" s="5" t="s">
        <v>126</v>
      </c>
      <c r="D18" s="5" t="s">
        <v>127</v>
      </c>
      <c r="E18" s="5" t="s">
        <v>128</v>
      </c>
      <c r="F18" s="5" t="s">
        <v>129</v>
      </c>
      <c r="G18" s="5" t="s">
        <v>130</v>
      </c>
    </row>
    <row r="19" spans="1:7" x14ac:dyDescent="0.25">
      <c r="A19" s="19">
        <v>0</v>
      </c>
      <c r="B19" s="16">
        <v>0.10063018405103807</v>
      </c>
      <c r="C19" s="14">
        <v>65552.80379204228</v>
      </c>
      <c r="D19" s="15">
        <v>0.36028969981093445</v>
      </c>
      <c r="E19" s="15">
        <v>0.21352664121065842</v>
      </c>
      <c r="F19" s="16">
        <v>0.10420217692321088</v>
      </c>
      <c r="G19" s="16">
        <v>0.09514330361243242</v>
      </c>
    </row>
    <row r="20" spans="1:7" x14ac:dyDescent="0.25">
      <c r="A20" s="19">
        <v>1</v>
      </c>
      <c r="B20" s="16">
        <v>0.09514330361243242</v>
      </c>
      <c r="C20" s="14">
        <v>72623.5581022152</v>
      </c>
      <c r="D20" s="15">
        <v>0.3252112760264164</v>
      </c>
      <c r="E20" s="15">
        <v>0.20933952020342553</v>
      </c>
      <c r="F20" s="16">
        <v>0.10402506170460492</v>
      </c>
      <c r="G20" s="16">
        <v>0.09567519784967984</v>
      </c>
    </row>
    <row r="21" spans="1:7" x14ac:dyDescent="0.25">
      <c r="A21" s="19">
        <v>2</v>
      </c>
      <c r="B21" s="16">
        <v>0.09567519784967984</v>
      </c>
      <c r="C21" s="14">
        <v>71882.45270699976</v>
      </c>
      <c r="D21" s="15">
        <v>0.32856419210220034</v>
      </c>
      <c r="E21" s="15">
        <v>0.2097397395924905</v>
      </c>
      <c r="F21" s="16">
        <v>0.10404199098476237</v>
      </c>
      <c r="G21" s="16">
        <v>0.09562314353128651</v>
      </c>
    </row>
    <row r="22" spans="1:7" x14ac:dyDescent="0.25">
      <c r="A22" s="19">
        <v>3</v>
      </c>
      <c r="B22" s="16">
        <v>0.09562314353128651</v>
      </c>
      <c r="C22" s="14">
        <v>71954.41050454696</v>
      </c>
      <c r="D22" s="15">
        <v>0.32823561244390326</v>
      </c>
      <c r="E22" s="15">
        <v>0.2097005188225307</v>
      </c>
      <c r="F22" s="16">
        <v>0.10404033194619307</v>
      </c>
      <c r="G22" s="16">
        <v>0.09562823314423873</v>
      </c>
    </row>
    <row r="23" spans="1:7" x14ac:dyDescent="0.25">
      <c r="A23" s="19">
        <v>4</v>
      </c>
      <c r="B23" s="16">
        <v>0.09562823314423873</v>
      </c>
      <c r="C23" s="14">
        <v>71947.36940593485</v>
      </c>
      <c r="D23" s="15">
        <v>0.32826773508208046</v>
      </c>
      <c r="E23" s="15">
        <v>0.20970435312745692</v>
      </c>
      <c r="F23" s="16">
        <v>0.10404049413729144</v>
      </c>
      <c r="G23" s="16">
        <v>0.09562773546192319</v>
      </c>
    </row>
    <row r="24" spans="1:7" x14ac:dyDescent="0.25">
      <c r="A24" s="19">
        <v>5</v>
      </c>
      <c r="B24" s="16">
        <v>0.09562773546192319</v>
      </c>
      <c r="C24" s="14">
        <v>71948.05786029065</v>
      </c>
      <c r="D24" s="15">
        <v>0.32826459396390706</v>
      </c>
      <c r="E24" s="15">
        <v>0.2097039781892336</v>
      </c>
      <c r="F24" s="16">
        <v>0.10404047827740459</v>
      </c>
      <c r="G24" s="16">
        <v>0.0956277841268195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64" customWidth="1"/>
    <col min="2" max="7" width="14" customWidth="1"/>
  </cols>
  <sheetData>
    <row r="1" spans="1:1" x14ac:dyDescent="0.25">
      <c r="A1" s="1" t="s">
        <v>131</v>
      </c>
    </row>
    <row r="2" spans="1:1" x14ac:dyDescent="0.25">
      <c r="A2" s="2" t="s">
        <v>132</v>
      </c>
    </row>
    <row r="3" ht="30" customHeight="1" spans="1:6" x14ac:dyDescent="0.25">
      <c r="A3" s="4" t="s">
        <v>100</v>
      </c>
      <c r="B3" s="5" t="s">
        <v>133</v>
      </c>
      <c r="C3" s="5" t="s">
        <v>134</v>
      </c>
      <c r="D3" s="5" t="s">
        <v>135</v>
      </c>
      <c r="E3" s="5" t="s">
        <v>136</v>
      </c>
      <c r="F3" s="5" t="s">
        <v>137</v>
      </c>
    </row>
    <row r="4" spans="1:6" x14ac:dyDescent="0.25">
      <c r="A4" t="s">
        <v>138</v>
      </c>
      <c r="B4" s="20">
        <v>169070.37279816502</v>
      </c>
      <c r="C4" s="20">
        <v>171572.61431557784</v>
      </c>
      <c r="D4" s="20">
        <v>177530.47334768626</v>
      </c>
      <c r="E4" s="20">
        <v>185040.01237029338</v>
      </c>
      <c r="F4" s="20">
        <v>193343.6829254103</v>
      </c>
    </row>
    <row r="5" spans="1:6" x14ac:dyDescent="0.25">
      <c r="A5" t="s">
        <v>139</v>
      </c>
      <c r="B5" s="20">
        <v>7424.479496572283</v>
      </c>
      <c r="C5" s="20">
        <v>7498.331544115289</v>
      </c>
      <c r="D5" s="20">
        <v>7790.942896797808</v>
      </c>
      <c r="E5" s="20">
        <v>8159.646176225665</v>
      </c>
      <c r="F5" s="20">
        <v>8572.51369823571</v>
      </c>
    </row>
    <row r="6" spans="1:6" x14ac:dyDescent="0.25">
      <c r="A6" t="s">
        <v>140</v>
      </c>
      <c r="B6" s="21">
        <v>0.3002014267729752</v>
      </c>
      <c r="C6" s="21">
        <v>0.30370142677297524</v>
      </c>
      <c r="D6" s="21">
        <v>0.30391785564414603</v>
      </c>
      <c r="E6" s="21">
        <v>0.30413428451531677</v>
      </c>
      <c r="F6" s="21">
        <v>0.3043507133864876</v>
      </c>
    </row>
    <row r="7" spans="1:6" x14ac:dyDescent="0.25">
      <c r="A7" t="s">
        <v>141</v>
      </c>
      <c r="B7" s="14">
        <f>B5*B6</f>
      </c>
      <c r="C7" s="14">
        <f>C5*C6</f>
      </c>
      <c r="D7" s="14">
        <f>D5*D6</f>
      </c>
      <c r="E7" s="14">
        <f>E5*E6</f>
      </c>
      <c r="F7" s="14">
        <f>F5*F6</f>
      </c>
    </row>
    <row r="8" spans="1:6" x14ac:dyDescent="0.25">
      <c r="A8" s="17" t="s">
        <v>142</v>
      </c>
      <c r="B8" s="22">
        <f>B5-B7</f>
      </c>
      <c r="C8" s="22">
        <f>C5-C7</f>
      </c>
      <c r="D8" s="22">
        <f>D5-D7</f>
      </c>
      <c r="E8" s="22">
        <f>E5-E7</f>
      </c>
      <c r="F8" s="22">
        <f>F5-F7</f>
      </c>
    </row>
    <row r="9" spans="1:6" x14ac:dyDescent="0.25">
      <c r="A9" t="s">
        <v>143</v>
      </c>
      <c r="B9" s="20">
        <v>4130.146747843042</v>
      </c>
      <c r="C9" s="20">
        <v>4191.272919711118</v>
      </c>
      <c r="D9" s="20">
        <v>4337.74213930862</v>
      </c>
      <c r="E9" s="20">
        <v>4522.195122675488</v>
      </c>
      <c r="F9" s="20">
        <v>4726.138490957641</v>
      </c>
    </row>
    <row r="10" spans="1:6" x14ac:dyDescent="0.25">
      <c r="A10" t="s">
        <v>144</v>
      </c>
      <c r="B10" s="20">
        <v>3864.6080481902427</v>
      </c>
      <c r="C10" s="20">
        <v>3428.8779119806013</v>
      </c>
      <c r="D10" s="20">
        <v>3535.2085102005963</v>
      </c>
      <c r="E10" s="20">
        <v>3671.471859886879</v>
      </c>
      <c r="F10" s="20">
        <v>3822.3574301371036</v>
      </c>
    </row>
    <row r="11" spans="1:6" x14ac:dyDescent="0.25">
      <c r="A11" t="s">
        <v>145</v>
      </c>
      <c r="B11" s="20">
        <v>-106.63803446140537</v>
      </c>
      <c r="C11" s="20">
        <v>94.4140093085166</v>
      </c>
      <c r="D11" s="20">
        <v>-198.13235945959605</v>
      </c>
      <c r="E11" s="20">
        <v>147.23122493089386</v>
      </c>
      <c r="F11" s="20">
        <v>162.80088345929562</v>
      </c>
    </row>
    <row r="12" spans="1:6" x14ac:dyDescent="0.25">
      <c r="A12" s="17" t="s">
        <v>146</v>
      </c>
      <c r="B12" s="22">
        <f>B8+B9-B10-B11</f>
      </c>
      <c r="C12" s="22">
        <f>C8+C9-C10-C11</f>
      </c>
      <c r="D12" s="22">
        <f>D8+D9-D10-D11</f>
      </c>
      <c r="E12" s="22">
        <f>E8+E9-E10-E11</f>
      </c>
      <c r="F12" s="22">
        <f>F8+F9-F10-F11</f>
      </c>
    </row>
    <row r="13" spans="1:6" x14ac:dyDescent="0.25">
      <c r="A13" t="s">
        <v>147</v>
      </c>
      <c r="B13" s="23">
        <v>1</v>
      </c>
      <c r="C13" s="23">
        <v>2</v>
      </c>
      <c r="D13" s="23">
        <v>3</v>
      </c>
      <c r="E13" s="23">
        <v>4</v>
      </c>
      <c r="F13" s="23">
        <v>5</v>
      </c>
    </row>
    <row r="14" spans="1:6" x14ac:dyDescent="0.25">
      <c r="A14" t="s">
        <v>148</v>
      </c>
      <c r="B14" s="24">
        <f>1/(1+WACC!$B$13)^B13</f>
      </c>
      <c r="C14" s="24">
        <f>1/(1+WACC!$B$13)^C13</f>
      </c>
      <c r="D14" s="24">
        <f>1/(1+WACC!$B$13)^D13</f>
      </c>
      <c r="E14" s="24">
        <f>1/(1+WACC!$B$13)^E13</f>
      </c>
      <c r="F14" s="24">
        <f>1/(1+WACC!$B$13)^F13</f>
      </c>
    </row>
    <row r="15" spans="1:6" x14ac:dyDescent="0.25">
      <c r="A15" t="s">
        <v>149</v>
      </c>
      <c r="B15" s="14">
        <f>B12*B14</f>
      </c>
      <c r="C15" s="14">
        <f>C12*C14</f>
      </c>
      <c r="D15" s="14">
        <f>D12*D14</f>
      </c>
      <c r="E15" s="14">
        <f>E12*E14</f>
      </c>
      <c r="F15" s="14">
        <f>F12*F14</f>
      </c>
    </row>
    <row r="16" spans="1:6" x14ac:dyDescent="0.25">
      <c r="A16" t="s">
        <v>150</v>
      </c>
      <c r="B16" s="20">
        <v>11554.626244415325</v>
      </c>
      <c r="C16" s="20">
        <v>11689.604463826407</v>
      </c>
      <c r="D16" s="20">
        <v>12128.685036106428</v>
      </c>
      <c r="E16" s="20">
        <v>12681.841298901152</v>
      </c>
      <c r="F16" s="20">
        <v>13298.652189193352</v>
      </c>
    </row>
    <row r="18" spans="1:1" x14ac:dyDescent="0.25">
      <c r="A18" s="3" t="s">
        <v>151</v>
      </c>
    </row>
    <row r="19" spans="1:2" x14ac:dyDescent="0.25">
      <c r="A19" t="s">
        <v>152</v>
      </c>
      <c r="B19" s="14">
        <f>SUM(B15:F15)</f>
      </c>
    </row>
    <row r="20" spans="1:2" x14ac:dyDescent="0.25">
      <c r="A20" t="s">
        <v>153</v>
      </c>
      <c r="B20" s="14">
        <f>F8-F11</f>
      </c>
    </row>
    <row r="21" spans="1:2" x14ac:dyDescent="0.25">
      <c r="A21" t="s">
        <v>154</v>
      </c>
      <c r="B21" s="14">
        <f>B20*(1+Supuestos!$B$10)/(WACC!$B$13-Supuestos!$B$10)</f>
      </c>
    </row>
    <row r="22" spans="1:2" x14ac:dyDescent="0.25">
      <c r="A22" t="s">
        <v>155</v>
      </c>
      <c r="B22" s="14">
        <f>B21*F14</f>
      </c>
    </row>
    <row r="23" spans="1:2" x14ac:dyDescent="0.25">
      <c r="A23" t="s">
        <v>156</v>
      </c>
      <c r="B23" s="14">
        <f>B19+B22</f>
      </c>
    </row>
    <row r="24" spans="1:2" x14ac:dyDescent="0.25">
      <c r="A24" t="s">
        <v>157</v>
      </c>
      <c r="B24" s="14">
        <f>F16*Supuestos!$B$11</f>
      </c>
    </row>
    <row r="25" spans="1:2" x14ac:dyDescent="0.25">
      <c r="A25" t="s">
        <v>158</v>
      </c>
      <c r="B25" s="14">
        <f>B24*F14</f>
      </c>
    </row>
    <row r="26" spans="1:2" x14ac:dyDescent="0.25">
      <c r="A26" t="s">
        <v>159</v>
      </c>
      <c r="B26" s="14">
        <f>B19+B25</f>
      </c>
    </row>
    <row r="27" spans="1:2" x14ac:dyDescent="0.25">
      <c r="A27" s="17" t="s">
        <v>160</v>
      </c>
      <c r="B27" s="22">
        <f>Supuestos!$B$12*B23+(1-Supuestos!$B$12)*B26</f>
      </c>
    </row>
    <row r="28" spans="1:2" x14ac:dyDescent="0.25">
      <c r="A28" t="s">
        <v>161</v>
      </c>
      <c r="B28" s="14">
        <f>B27*(1+WACC!$B$13)^Supuestos!$B$16</f>
      </c>
    </row>
    <row r="29" spans="1:2" x14ac:dyDescent="0.25">
      <c r="A29" t="s">
        <v>162</v>
      </c>
      <c r="B29" s="14">
        <f>B28+Supuestos!$B$17</f>
      </c>
    </row>
    <row r="30" spans="1:2" x14ac:dyDescent="0.25">
      <c r="A30" t="s">
        <v>163</v>
      </c>
      <c r="B30" s="14">
        <f>B29-Supuestos!$B$18-Supuestos!$B$19+Supuestos!$B$20</f>
      </c>
    </row>
    <row r="31" spans="1:2" x14ac:dyDescent="0.25">
      <c r="A31" s="17" t="s">
        <v>164</v>
      </c>
      <c r="B31" s="22">
        <f>B30*(1+WACC!$B$14)^Supuestos!$B$21</f>
      </c>
    </row>
    <row r="32" spans="1:2" x14ac:dyDescent="0.25">
      <c r="A32" s="17" t="s">
        <v>165</v>
      </c>
      <c r="B32" s="25">
        <f>B31/Supuestos!$B$22</f>
      </c>
    </row>
    <row r="33" spans="1:2" x14ac:dyDescent="0.25">
      <c r="A33" t="s">
        <v>166</v>
      </c>
      <c r="B33" s="26">
        <f>Supuestos!$B$23</f>
      </c>
    </row>
    <row r="34" spans="1:2" x14ac:dyDescent="0.25">
      <c r="A34" t="s">
        <v>167</v>
      </c>
      <c r="B34" s="27">
        <f>B32/B33-1</f>
      </c>
    </row>
    <row r="36" spans="1:2" x14ac:dyDescent="0.25">
      <c r="A36" t="s">
        <v>168</v>
      </c>
      <c r="B36" s="26">
        <v>38.34007831097811</v>
      </c>
    </row>
    <row r="37" spans="1:2" x14ac:dyDescent="0.25">
      <c r="A37" t="s">
        <v>169</v>
      </c>
      <c r="B37" s="24">
        <f>B32-B36</f>
      </c>
    </row>
    <row r="38" spans="1:1" x14ac:dyDescent="0.25">
      <c r="A38" s="2" t="s">
        <v>170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3" width="12" customWidth="1"/>
    <col min="4" max="4" width="14" customWidth="1"/>
    <col min="5" max="5" width="30" customWidth="1"/>
    <col min="6" max="6" width="14" customWidth="1"/>
    <col min="7" max="7" width="26" customWidth="1"/>
    <col min="8" max="8" width="14" customWidth="1"/>
    <col min="9" max="10" width="12" customWidth="1"/>
    <col min="11" max="12" width="10" customWidth="1"/>
    <col min="14" max="14" width="10" customWidth="1"/>
    <col min="16" max="16" width="10" customWidth="1"/>
    <col min="17" max="17" width="11" customWidth="1"/>
    <col min="18" max="18" width="10" customWidth="1"/>
    <col min="19" max="19" width="12" customWidth="1"/>
    <col min="20" max="20" width="11" customWidth="1"/>
    <col min="21" max="21" width="12" customWidth="1"/>
    <col min="22" max="22" width="70" customWidth="1"/>
  </cols>
  <sheetData>
    <row r="1" spans="1:1" x14ac:dyDescent="0.25">
      <c r="A1" s="1" t="s">
        <v>171</v>
      </c>
    </row>
    <row r="2" spans="1:1" x14ac:dyDescent="0.25">
      <c r="A2" s="2" t="s">
        <v>172</v>
      </c>
    </row>
    <row r="4" ht="30" customHeight="1" spans="1:22" x14ac:dyDescent="0.25">
      <c r="A4" s="4" t="s">
        <v>173</v>
      </c>
      <c r="B4" s="5" t="s">
        <v>174</v>
      </c>
      <c r="C4" s="5" t="s">
        <v>175</v>
      </c>
      <c r="D4" s="5" t="s">
        <v>176</v>
      </c>
      <c r="E4" s="5" t="s">
        <v>177</v>
      </c>
      <c r="F4" s="5" t="s">
        <v>178</v>
      </c>
      <c r="G4" s="5" t="s">
        <v>179</v>
      </c>
      <c r="H4" s="5" t="s">
        <v>180</v>
      </c>
      <c r="I4" s="5" t="s">
        <v>181</v>
      </c>
      <c r="J4" s="5" t="s">
        <v>182</v>
      </c>
      <c r="K4" s="5" t="s">
        <v>183</v>
      </c>
      <c r="L4" s="5" t="s">
        <v>184</v>
      </c>
      <c r="M4" s="5" t="s">
        <v>185</v>
      </c>
      <c r="N4" s="5" t="s">
        <v>186</v>
      </c>
      <c r="O4" s="5" t="s">
        <v>187</v>
      </c>
      <c r="P4" s="5" t="s">
        <v>188</v>
      </c>
      <c r="Q4" s="5" t="s">
        <v>189</v>
      </c>
      <c r="R4" s="5" t="s">
        <v>190</v>
      </c>
      <c r="S4" s="5" t="s">
        <v>191</v>
      </c>
      <c r="T4" s="5" t="s">
        <v>192</v>
      </c>
      <c r="U4" s="5" t="s">
        <v>193</v>
      </c>
      <c r="V4" s="5" t="s">
        <v>194</v>
      </c>
    </row>
    <row r="5" spans="1:22" x14ac:dyDescent="0.25">
      <c r="A5" t="s">
        <v>195</v>
      </c>
      <c r="B5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201</v>
      </c>
      <c r="H5" s="14">
        <v>1019.99</v>
      </c>
      <c r="I5" s="14">
        <v>1744.4696579188</v>
      </c>
      <c r="J5" s="28">
        <f>I5*18.48</f>
      </c>
      <c r="K5" s="29">
        <v>4.98</v>
      </c>
      <c r="L5" s="29">
        <v>0.34</v>
      </c>
      <c r="M5" t="s">
        <v>202</v>
      </c>
      <c r="N5">
        <f>COUNT(K5:M5)</f>
      </c>
      <c r="O5" t="s">
        <v>203</v>
      </c>
      <c r="P5" t="s">
        <v>203</v>
      </c>
      <c r="Q5" t="s">
        <v>203</v>
      </c>
      <c r="R5" t="s">
        <v>204</v>
      </c>
      <c r="S5" t="s">
        <v>205</v>
      </c>
      <c r="T5" s="8">
        <v>1</v>
      </c>
      <c r="U5" s="29">
        <f>IF(AND(T5=1,ISNUMBER(K5)),K5,"")</f>
      </c>
      <c r="V5" t="s">
        <v>206</v>
      </c>
    </row>
    <row r="6" spans="1:2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s="14">
        <v>1703.42</v>
      </c>
      <c r="I6" s="14">
        <v>1711.68773934065</v>
      </c>
      <c r="J6" s="28">
        <f>I6*18.48</f>
      </c>
      <c r="K6" s="29">
        <v>21.31</v>
      </c>
      <c r="L6" s="29">
        <v>0.69</v>
      </c>
      <c r="M6" t="s">
        <v>202</v>
      </c>
      <c r="N6">
        <f>COUNT(K6:M6)</f>
      </c>
      <c r="O6" t="s">
        <v>203</v>
      </c>
      <c r="P6" t="s">
        <v>203</v>
      </c>
      <c r="Q6" t="s">
        <v>203</v>
      </c>
      <c r="R6" t="s">
        <v>204</v>
      </c>
      <c r="S6" t="s">
        <v>205</v>
      </c>
      <c r="T6" s="8">
        <v>1</v>
      </c>
      <c r="U6" s="29">
        <f>IF(AND(T6=1,ISNUMBER(K6)),K6,"")</f>
      </c>
      <c r="V6" t="s">
        <v>214</v>
      </c>
    </row>
    <row r="7" spans="1:22" x14ac:dyDescent="0.25">
      <c r="A7" t="s">
        <v>215</v>
      </c>
      <c r="B7" t="s">
        <v>216</v>
      </c>
      <c r="C7" t="s">
        <v>217</v>
      </c>
      <c r="D7" t="s">
        <v>218</v>
      </c>
      <c r="E7" t="s">
        <v>219</v>
      </c>
      <c r="F7" t="s">
        <v>218</v>
      </c>
      <c r="G7" t="s">
        <v>213</v>
      </c>
      <c r="H7" s="14">
        <v>3339.55</v>
      </c>
      <c r="I7" s="14">
        <v>11027.0528552116</v>
      </c>
      <c r="J7" s="28">
        <f>I7*18.48</f>
      </c>
      <c r="K7" s="29">
        <v>3.24</v>
      </c>
      <c r="L7" s="29">
        <v>0.9</v>
      </c>
      <c r="M7" s="29">
        <v>13.72</v>
      </c>
      <c r="N7">
        <f>COUNT(K7:M7)</f>
      </c>
      <c r="O7" t="s">
        <v>203</v>
      </c>
      <c r="P7" t="s">
        <v>203</v>
      </c>
      <c r="Q7" t="s">
        <v>203</v>
      </c>
      <c r="R7" t="s">
        <v>204</v>
      </c>
      <c r="S7" t="s">
        <v>205</v>
      </c>
      <c r="T7" s="8">
        <v>1</v>
      </c>
      <c r="U7" s="29">
        <f>IF(AND(T7=1,ISNUMBER(K7)),K7,"")</f>
      </c>
      <c r="V7" t="s">
        <v>220</v>
      </c>
    </row>
    <row r="8" spans="1:22" x14ac:dyDescent="0.25">
      <c r="A8" t="s">
        <v>221</v>
      </c>
      <c r="B8" t="s">
        <v>222</v>
      </c>
      <c r="C8" t="s">
        <v>223</v>
      </c>
      <c r="D8" t="s">
        <v>218</v>
      </c>
      <c r="E8" t="s">
        <v>224</v>
      </c>
      <c r="F8" t="s">
        <v>218</v>
      </c>
      <c r="G8" t="s">
        <v>213</v>
      </c>
      <c r="H8" s="14">
        <v>234.33</v>
      </c>
      <c r="I8" s="14">
        <v>700.281215044876</v>
      </c>
      <c r="J8" s="28">
        <f>I8*18.48</f>
      </c>
      <c r="K8" s="29">
        <v>7.64</v>
      </c>
      <c r="L8" s="29">
        <v>0.28</v>
      </c>
      <c r="M8" s="29">
        <v>18.52</v>
      </c>
      <c r="N8">
        <f>COUNT(K8:M8)</f>
      </c>
      <c r="O8" t="s">
        <v>203</v>
      </c>
      <c r="P8" t="s">
        <v>203</v>
      </c>
      <c r="Q8" t="s">
        <v>203</v>
      </c>
      <c r="R8" t="s">
        <v>204</v>
      </c>
      <c r="S8" t="s">
        <v>205</v>
      </c>
      <c r="T8" s="8">
        <v>1</v>
      </c>
      <c r="U8" s="29">
        <f>IF(AND(T8=1,ISNUMBER(K8)),K8,"")</f>
      </c>
      <c r="V8" t="s">
        <v>225</v>
      </c>
    </row>
    <row r="9" spans="1:22" x14ac:dyDescent="0.25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229</v>
      </c>
      <c r="G9" t="s">
        <v>213</v>
      </c>
      <c r="H9" s="14">
        <v>889.32</v>
      </c>
      <c r="I9" s="14">
        <v>5614.07966947722</v>
      </c>
      <c r="J9" s="28">
        <f>I9*18.48</f>
      </c>
      <c r="K9" s="29">
        <v>12.77</v>
      </c>
      <c r="L9" s="29">
        <v>0.53</v>
      </c>
      <c r="M9" t="s">
        <v>202</v>
      </c>
      <c r="N9">
        <f>COUNT(K9:M9)</f>
      </c>
      <c r="O9" t="s">
        <v>203</v>
      </c>
      <c r="P9" t="s">
        <v>203</v>
      </c>
      <c r="Q9" t="s">
        <v>203</v>
      </c>
      <c r="R9" t="s">
        <v>204</v>
      </c>
      <c r="S9" t="s">
        <v>205</v>
      </c>
      <c r="T9" s="8">
        <v>1</v>
      </c>
      <c r="U9" s="29">
        <f>IF(AND(T9=1,ISNUMBER(K9)),K9,"")</f>
      </c>
      <c r="V9" t="s">
        <v>231</v>
      </c>
    </row>
    <row r="10" spans="1:22" x14ac:dyDescent="0.25">
      <c r="A10" t="s">
        <v>232</v>
      </c>
      <c r="B10" t="s">
        <v>233</v>
      </c>
      <c r="C10" t="s">
        <v>234</v>
      </c>
      <c r="D10" t="s">
        <v>235</v>
      </c>
      <c r="E10" t="s">
        <v>236</v>
      </c>
      <c r="F10" t="s">
        <v>235</v>
      </c>
      <c r="G10" t="s">
        <v>213</v>
      </c>
      <c r="H10" s="14">
        <v>1333.8</v>
      </c>
      <c r="I10" s="14">
        <v>824.101012589789</v>
      </c>
      <c r="J10" s="28">
        <f>I10*18.48</f>
      </c>
      <c r="K10" s="29">
        <v>2.2</v>
      </c>
      <c r="L10" s="29">
        <v>0.08</v>
      </c>
      <c r="M10" t="s">
        <v>202</v>
      </c>
      <c r="N10">
        <f>COUNT(K10:M10)</f>
      </c>
      <c r="O10" t="s">
        <v>203</v>
      </c>
      <c r="P10" t="s">
        <v>203</v>
      </c>
      <c r="Q10" t="s">
        <v>203</v>
      </c>
      <c r="R10" t="s">
        <v>204</v>
      </c>
      <c r="S10" t="s">
        <v>205</v>
      </c>
      <c r="T10" s="8">
        <v>1</v>
      </c>
      <c r="U10" s="29">
        <f>IF(AND(T10=1,ISNUMBER(K10)),K10,"")</f>
      </c>
      <c r="V10" t="s">
        <v>237</v>
      </c>
    </row>
    <row r="11" spans="1:22" x14ac:dyDescent="0.25">
      <c r="A11" t="s">
        <v>238</v>
      </c>
      <c r="B11" t="s">
        <v>239</v>
      </c>
      <c r="C11" t="s">
        <v>240</v>
      </c>
      <c r="D11" t="s">
        <v>241</v>
      </c>
      <c r="E11" t="s">
        <v>242</v>
      </c>
      <c r="F11" t="s">
        <v>241</v>
      </c>
      <c r="G11" t="s">
        <v>213</v>
      </c>
      <c r="H11" s="14">
        <v>294.05</v>
      </c>
      <c r="I11" s="14">
        <v>5048.57632795548</v>
      </c>
      <c r="J11" s="28">
        <f>I11*18.48</f>
      </c>
      <c r="K11" s="29">
        <v>5.11</v>
      </c>
      <c r="L11" s="29">
        <v>0.16</v>
      </c>
      <c r="M11" t="s">
        <v>202</v>
      </c>
      <c r="N11">
        <f>COUNT(K11:M11)</f>
      </c>
      <c r="O11" t="s">
        <v>203</v>
      </c>
      <c r="P11" t="s">
        <v>203</v>
      </c>
      <c r="Q11" t="s">
        <v>203</v>
      </c>
      <c r="R11" t="s">
        <v>204</v>
      </c>
      <c r="S11" t="s">
        <v>205</v>
      </c>
      <c r="T11" s="8">
        <v>1</v>
      </c>
      <c r="U11" s="29">
        <f>IF(AND(T11=1,ISNUMBER(K11)),K11,"")</f>
      </c>
      <c r="V11" t="s">
        <v>243</v>
      </c>
    </row>
    <row r="12" spans="1:22" x14ac:dyDescent="0.25">
      <c r="A12" t="s">
        <v>244</v>
      </c>
      <c r="B12" t="s">
        <v>245</v>
      </c>
      <c r="C12" t="s">
        <v>246</v>
      </c>
      <c r="D12" t="s">
        <v>218</v>
      </c>
      <c r="E12" t="s">
        <v>247</v>
      </c>
      <c r="F12" t="s">
        <v>218</v>
      </c>
      <c r="G12" t="s">
        <v>213</v>
      </c>
      <c r="H12" s="14">
        <v>2536.72</v>
      </c>
      <c r="I12" s="14">
        <v>2552.39118753358</v>
      </c>
      <c r="J12" s="28">
        <f>I12*18.48</f>
      </c>
      <c r="K12" t="s">
        <v>202</v>
      </c>
      <c r="L12" s="29">
        <v>0.69</v>
      </c>
      <c r="M12" s="29">
        <v>3.88</v>
      </c>
      <c r="N12">
        <f>COUNT(K12:M12)</f>
      </c>
      <c r="O12" t="s">
        <v>203</v>
      </c>
      <c r="P12" t="s">
        <v>203</v>
      </c>
      <c r="Q12" t="s">
        <v>203</v>
      </c>
      <c r="R12" t="s">
        <v>204</v>
      </c>
      <c r="S12" t="s">
        <v>205</v>
      </c>
      <c r="T12" s="8">
        <v>1</v>
      </c>
      <c r="U12" s="29">
        <f>IF(AND(T12=1,ISNUMBER(K12)),K12,"")</f>
      </c>
      <c r="V12" t="s">
        <v>248</v>
      </c>
    </row>
    <row r="13" spans="1:22" x14ac:dyDescent="0.25">
      <c r="A13" t="s">
        <v>249</v>
      </c>
      <c r="B13" t="s">
        <v>250</v>
      </c>
      <c r="C13" t="s">
        <v>251</v>
      </c>
      <c r="D13" t="s">
        <v>229</v>
      </c>
      <c r="E13" t="s">
        <v>252</v>
      </c>
      <c r="F13" t="s">
        <v>229</v>
      </c>
      <c r="G13" t="s">
        <v>213</v>
      </c>
      <c r="H13" s="14">
        <v>182.33</v>
      </c>
      <c r="I13" s="14">
        <v>957.342430058419</v>
      </c>
      <c r="J13" s="28">
        <f>I13*18.48</f>
      </c>
      <c r="K13" s="29">
        <v>4.97</v>
      </c>
      <c r="L13" s="29">
        <v>0.67</v>
      </c>
      <c r="M13" s="29">
        <v>13.41</v>
      </c>
      <c r="N13">
        <f>COUNT(K13:M13)</f>
      </c>
      <c r="O13" t="s">
        <v>203</v>
      </c>
      <c r="P13" t="s">
        <v>203</v>
      </c>
      <c r="Q13" t="s">
        <v>203</v>
      </c>
      <c r="R13" t="s">
        <v>204</v>
      </c>
      <c r="S13" t="s">
        <v>205</v>
      </c>
      <c r="T13" s="8">
        <v>1</v>
      </c>
      <c r="U13" s="29">
        <f>IF(AND(T13=1,ISNUMBER(K13)),K13,"")</f>
      </c>
      <c r="V13" t="s">
        <v>253</v>
      </c>
    </row>
    <row r="14" spans="1:22" x14ac:dyDescent="0.25">
      <c r="A14" t="s">
        <v>254</v>
      </c>
      <c r="B14" t="s">
        <v>255</v>
      </c>
      <c r="C14" t="s">
        <v>256</v>
      </c>
      <c r="D14" t="s">
        <v>218</v>
      </c>
      <c r="E14" t="s">
        <v>254</v>
      </c>
      <c r="F14" t="s">
        <v>218</v>
      </c>
      <c r="G14" t="s">
        <v>213</v>
      </c>
      <c r="H14" s="14">
        <v>747.08</v>
      </c>
      <c r="I14" s="14">
        <v>23898.2636401176</v>
      </c>
      <c r="J14" s="28">
        <f>I14*18.48</f>
      </c>
      <c r="K14" s="29">
        <v>3.36</v>
      </c>
      <c r="L14" s="29">
        <v>0.31</v>
      </c>
      <c r="M14" s="29">
        <v>11.07</v>
      </c>
      <c r="N14">
        <f>COUNT(K14:M14)</f>
      </c>
      <c r="O14" t="s">
        <v>203</v>
      </c>
      <c r="P14" t="s">
        <v>203</v>
      </c>
      <c r="Q14" t="s">
        <v>203</v>
      </c>
      <c r="R14" t="s">
        <v>203</v>
      </c>
      <c r="S14" t="s">
        <v>257</v>
      </c>
      <c r="T14" s="8">
        <v>0</v>
      </c>
      <c r="U14" s="29">
        <f>IF(AND(T14=1,ISNUMBER(K14)),K14,"")</f>
      </c>
      <c r="V14" t="s">
        <v>258</v>
      </c>
    </row>
    <row r="15" spans="1:22" x14ac:dyDescent="0.25">
      <c r="A15" t="s">
        <v>259</v>
      </c>
      <c r="B15" t="s">
        <v>260</v>
      </c>
      <c r="C15" t="s">
        <v>261</v>
      </c>
      <c r="D15" t="s">
        <v>262</v>
      </c>
      <c r="E15" t="s">
        <v>259</v>
      </c>
      <c r="F15" t="s">
        <v>262</v>
      </c>
      <c r="G15" t="s">
        <v>213</v>
      </c>
      <c r="H15" s="14">
        <v>395.51</v>
      </c>
      <c r="I15" s="14">
        <v>25430.5705943316</v>
      </c>
      <c r="J15" s="28">
        <f>I15*18.48</f>
      </c>
      <c r="K15" s="29">
        <v>5.16</v>
      </c>
      <c r="L15" s="29">
        <v>0.28</v>
      </c>
      <c r="M15" s="29">
        <v>11.59</v>
      </c>
      <c r="N15">
        <f>COUNT(K15:M15)</f>
      </c>
      <c r="O15" t="s">
        <v>203</v>
      </c>
      <c r="P15" t="s">
        <v>203</v>
      </c>
      <c r="Q15" t="s">
        <v>203</v>
      </c>
      <c r="R15" t="s">
        <v>203</v>
      </c>
      <c r="S15" t="s">
        <v>257</v>
      </c>
      <c r="T15" s="8">
        <v>0</v>
      </c>
      <c r="U15" s="29">
        <f>IF(AND(T15=1,ISNUMBER(K15)),K15,"")</f>
      </c>
      <c r="V15" t="s">
        <v>258</v>
      </c>
    </row>
    <row r="16" spans="1:22" x14ac:dyDescent="0.25">
      <c r="A16" t="s">
        <v>254</v>
      </c>
      <c r="B16" t="s">
        <v>263</v>
      </c>
      <c r="C16" t="s">
        <v>264</v>
      </c>
      <c r="D16" t="s">
        <v>218</v>
      </c>
      <c r="E16" t="s">
        <v>254</v>
      </c>
      <c r="F16" t="s">
        <v>218</v>
      </c>
      <c r="G16" t="s">
        <v>213</v>
      </c>
      <c r="H16" s="14">
        <v>4101.72</v>
      </c>
      <c r="I16" s="14">
        <v>57481.8306496952</v>
      </c>
      <c r="J16" s="28">
        <f>I16*18.48</f>
      </c>
      <c r="K16" s="29">
        <v>8.74</v>
      </c>
      <c r="L16" s="29">
        <v>0.78</v>
      </c>
      <c r="M16" s="29">
        <v>17.36</v>
      </c>
      <c r="N16">
        <f>COUNT(K16:M16)</f>
      </c>
      <c r="O16" t="s">
        <v>203</v>
      </c>
      <c r="P16" t="s">
        <v>203</v>
      </c>
      <c r="Q16" t="s">
        <v>203</v>
      </c>
      <c r="R16" t="s">
        <v>203</v>
      </c>
      <c r="S16" t="s">
        <v>257</v>
      </c>
      <c r="T16" s="8">
        <v>0</v>
      </c>
      <c r="U16" s="29">
        <f>IF(AND(T16=1,ISNUMBER(K16)),K16,"")</f>
      </c>
      <c r="V16" t="s">
        <v>258</v>
      </c>
    </row>
    <row r="17" spans="1:22" x14ac:dyDescent="0.25">
      <c r="A17" t="s">
        <v>265</v>
      </c>
      <c r="B17" t="s">
        <v>266</v>
      </c>
      <c r="C17" t="s">
        <v>267</v>
      </c>
      <c r="D17" t="s">
        <v>268</v>
      </c>
      <c r="E17" t="s">
        <v>265</v>
      </c>
      <c r="F17" t="s">
        <v>268</v>
      </c>
      <c r="G17" t="s">
        <v>213</v>
      </c>
      <c r="H17" s="14">
        <v>120.85</v>
      </c>
      <c r="I17" s="14">
        <v>13917.2561899704</v>
      </c>
      <c r="J17" s="28">
        <f>I17*18.48</f>
      </c>
      <c r="K17" s="29">
        <v>4.71</v>
      </c>
      <c r="L17" s="29">
        <v>0.32</v>
      </c>
      <c r="M17" s="29">
        <v>17.52</v>
      </c>
      <c r="N17">
        <f>COUNT(K17:M17)</f>
      </c>
      <c r="O17" t="s">
        <v>203</v>
      </c>
      <c r="P17" t="s">
        <v>203</v>
      </c>
      <c r="Q17" t="s">
        <v>203</v>
      </c>
      <c r="R17" t="s">
        <v>203</v>
      </c>
      <c r="S17" t="s">
        <v>257</v>
      </c>
      <c r="T17" s="8">
        <v>0</v>
      </c>
      <c r="U17" s="29">
        <f>IF(AND(T17=1,ISNUMBER(K17)),K17,"")</f>
      </c>
      <c r="V17" t="s">
        <v>258</v>
      </c>
    </row>
    <row r="18" spans="1:22" x14ac:dyDescent="0.25">
      <c r="A18" t="s">
        <v>269</v>
      </c>
      <c r="B18" t="s">
        <v>270</v>
      </c>
      <c r="C18" t="s">
        <v>271</v>
      </c>
      <c r="D18" t="s">
        <v>218</v>
      </c>
      <c r="E18" t="s">
        <v>269</v>
      </c>
      <c r="F18" t="s">
        <v>218</v>
      </c>
      <c r="G18" t="s">
        <v>213</v>
      </c>
      <c r="H18" s="14">
        <v>2412.71</v>
      </c>
      <c r="I18" s="14">
        <v>2864.30135395037</v>
      </c>
      <c r="J18" s="28">
        <f>I18*18.48</f>
      </c>
      <c r="K18" s="29">
        <v>10.68</v>
      </c>
      <c r="L18" s="29">
        <v>0.73</v>
      </c>
      <c r="M18" s="29">
        <v>20.83</v>
      </c>
      <c r="N18">
        <f>COUNT(K18:M18)</f>
      </c>
      <c r="O18" t="s">
        <v>203</v>
      </c>
      <c r="P18" t="s">
        <v>203</v>
      </c>
      <c r="Q18" t="s">
        <v>203</v>
      </c>
      <c r="R18" t="s">
        <v>203</v>
      </c>
      <c r="S18" t="s">
        <v>257</v>
      </c>
      <c r="T18" s="8">
        <v>0</v>
      </c>
      <c r="U18" s="29">
        <f>IF(AND(T18=1,ISNUMBER(K18)),K18,"")</f>
      </c>
      <c r="V18" t="s">
        <v>272</v>
      </c>
    </row>
    <row r="19" spans="1:22" x14ac:dyDescent="0.25">
      <c r="A19" t="s">
        <v>273</v>
      </c>
      <c r="B19" t="s">
        <v>274</v>
      </c>
      <c r="C19" t="s">
        <v>275</v>
      </c>
      <c r="D19" t="s">
        <v>276</v>
      </c>
      <c r="E19" t="s">
        <v>273</v>
      </c>
      <c r="F19" t="s">
        <v>276</v>
      </c>
      <c r="G19" t="s">
        <v>213</v>
      </c>
      <c r="H19" s="14">
        <v>180.44</v>
      </c>
      <c r="I19" s="14">
        <v>7977.49404833716</v>
      </c>
      <c r="J19" s="28">
        <f>I19*18.48</f>
      </c>
      <c r="K19" s="29">
        <v>3.63</v>
      </c>
      <c r="L19" s="29">
        <v>0.32</v>
      </c>
      <c r="M19" s="29">
        <v>6.67</v>
      </c>
      <c r="N19">
        <f>COUNT(K19:M19)</f>
      </c>
      <c r="O19" t="s">
        <v>203</v>
      </c>
      <c r="P19" t="s">
        <v>203</v>
      </c>
      <c r="Q19" t="s">
        <v>203</v>
      </c>
      <c r="R19" t="s">
        <v>203</v>
      </c>
      <c r="S19" t="s">
        <v>257</v>
      </c>
      <c r="T19" s="8">
        <v>0</v>
      </c>
      <c r="U19" s="29">
        <f>IF(AND(T19=1,ISNUMBER(K19)),K19,"")</f>
      </c>
      <c r="V19" t="s">
        <v>277</v>
      </c>
    </row>
    <row r="20" spans="1:22" x14ac:dyDescent="0.25">
      <c r="A20" t="s">
        <v>278</v>
      </c>
      <c r="B20" t="s">
        <v>279</v>
      </c>
      <c r="C20" t="s">
        <v>280</v>
      </c>
      <c r="D20" t="s">
        <v>276</v>
      </c>
      <c r="E20" t="s">
        <v>281</v>
      </c>
      <c r="F20" t="s">
        <v>276</v>
      </c>
      <c r="G20" t="s">
        <v>213</v>
      </c>
      <c r="H20" s="14">
        <v>361.67</v>
      </c>
      <c r="I20" s="14">
        <v>478.100359459312</v>
      </c>
      <c r="J20" s="28">
        <f>I20*18.48</f>
      </c>
      <c r="K20" t="s">
        <v>202</v>
      </c>
      <c r="L20" s="29">
        <v>0.45</v>
      </c>
      <c r="M20" s="29">
        <v>44.78</v>
      </c>
      <c r="N20">
        <f>COUNT(K20:M20)</f>
      </c>
      <c r="O20" t="s">
        <v>203</v>
      </c>
      <c r="P20" t="s">
        <v>203</v>
      </c>
      <c r="Q20" t="s">
        <v>203</v>
      </c>
      <c r="R20" t="s">
        <v>204</v>
      </c>
      <c r="S20" t="s">
        <v>257</v>
      </c>
      <c r="T20" s="8">
        <v>0</v>
      </c>
      <c r="U20" s="29">
        <f>IF(AND(T20=1,ISNUMBER(K20)),K20,"")</f>
      </c>
      <c r="V20" t="s">
        <v>282</v>
      </c>
    </row>
    <row r="21" spans="1:22" x14ac:dyDescent="0.25">
      <c r="A21" t="s">
        <v>283</v>
      </c>
      <c r="B21" t="s">
        <v>284</v>
      </c>
      <c r="C21" t="s">
        <v>285</v>
      </c>
      <c r="D21" t="s">
        <v>229</v>
      </c>
      <c r="E21" t="s">
        <v>286</v>
      </c>
      <c r="F21" t="s">
        <v>229</v>
      </c>
      <c r="G21" t="s">
        <v>213</v>
      </c>
      <c r="H21" s="14">
        <v>345.7</v>
      </c>
      <c r="I21" s="14">
        <v>2318.25964976686</v>
      </c>
      <c r="J21" s="28">
        <f>I21*18.48</f>
      </c>
      <c r="K21" s="29">
        <v>45.98</v>
      </c>
      <c r="L21" s="29">
        <v>5.64</v>
      </c>
      <c r="M21" t="s">
        <v>202</v>
      </c>
      <c r="N21">
        <f>COUNT(K21:M21)</f>
      </c>
      <c r="O21" t="s">
        <v>203</v>
      </c>
      <c r="P21" t="s">
        <v>203</v>
      </c>
      <c r="Q21" t="s">
        <v>203</v>
      </c>
      <c r="R21" t="s">
        <v>204</v>
      </c>
      <c r="S21" t="s">
        <v>257</v>
      </c>
      <c r="T21" s="8">
        <v>0</v>
      </c>
      <c r="U21" s="29">
        <f>IF(AND(T21=1,ISNUMBER(K21)),K21,"")</f>
      </c>
      <c r="V21" t="s">
        <v>287</v>
      </c>
    </row>
    <row r="22" spans="1:22" x14ac:dyDescent="0.25">
      <c r="A22" t="s">
        <v>288</v>
      </c>
      <c r="B22" t="s">
        <v>289</v>
      </c>
      <c r="C22" t="s">
        <v>290</v>
      </c>
      <c r="D22" t="s">
        <v>291</v>
      </c>
      <c r="E22" t="s">
        <v>292</v>
      </c>
      <c r="F22" t="s">
        <v>291</v>
      </c>
      <c r="G22" t="s">
        <v>213</v>
      </c>
      <c r="H22" s="14">
        <v>200</v>
      </c>
      <c r="I22" s="14">
        <v>2951.11460542751</v>
      </c>
      <c r="J22" s="28">
        <f>I22*18.48</f>
      </c>
      <c r="K22" s="29">
        <v>323.13</v>
      </c>
      <c r="L22" s="29">
        <v>2.45</v>
      </c>
      <c r="M22" t="s">
        <v>202</v>
      </c>
      <c r="N22">
        <f>COUNT(K22:M22)</f>
      </c>
      <c r="O22" t="s">
        <v>203</v>
      </c>
      <c r="P22" t="s">
        <v>203</v>
      </c>
      <c r="Q22" t="s">
        <v>203</v>
      </c>
      <c r="R22" t="s">
        <v>204</v>
      </c>
      <c r="S22" t="s">
        <v>257</v>
      </c>
      <c r="T22" s="8">
        <v>0</v>
      </c>
      <c r="U22" s="29">
        <f>IF(AND(T22=1,ISNUMBER(K22)),K22,"")</f>
      </c>
      <c r="V22" t="s">
        <v>293</v>
      </c>
    </row>
    <row r="23" spans="1:22" x14ac:dyDescent="0.25">
      <c r="A23" t="s">
        <v>294</v>
      </c>
      <c r="B23" t="s">
        <v>295</v>
      </c>
      <c r="C23" t="s">
        <v>296</v>
      </c>
      <c r="D23" t="s">
        <v>262</v>
      </c>
      <c r="E23" t="s">
        <v>297</v>
      </c>
      <c r="F23" t="s">
        <v>298</v>
      </c>
      <c r="G23" t="s">
        <v>213</v>
      </c>
      <c r="H23" s="14">
        <v>1727.54</v>
      </c>
      <c r="I23" s="14">
        <v>2464.14635578787</v>
      </c>
      <c r="J23" s="28">
        <f>I23*18.48</f>
      </c>
      <c r="K23" t="s">
        <v>202</v>
      </c>
      <c r="L23" s="29">
        <v>44.45</v>
      </c>
      <c r="M23" s="29">
        <v>33.81</v>
      </c>
      <c r="N23">
        <f>COUNT(K23:M23)</f>
      </c>
      <c r="O23" t="s">
        <v>203</v>
      </c>
      <c r="P23" t="s">
        <v>203</v>
      </c>
      <c r="Q23" t="s">
        <v>203</v>
      </c>
      <c r="R23" t="s">
        <v>204</v>
      </c>
      <c r="S23" t="s">
        <v>257</v>
      </c>
      <c r="T23" s="8">
        <v>0</v>
      </c>
      <c r="U23" s="29">
        <f>IF(AND(T23=1,ISNUMBER(K23)),K23,"")</f>
      </c>
      <c r="V23" t="s">
        <v>299</v>
      </c>
    </row>
    <row r="24" spans="1:22" x14ac:dyDescent="0.25">
      <c r="A24" t="s">
        <v>300</v>
      </c>
      <c r="B24" t="s">
        <v>301</v>
      </c>
      <c r="C24" t="s">
        <v>302</v>
      </c>
      <c r="D24" t="s">
        <v>218</v>
      </c>
      <c r="E24" t="s">
        <v>303</v>
      </c>
      <c r="F24" t="s">
        <v>218</v>
      </c>
      <c r="G24" t="s">
        <v>213</v>
      </c>
      <c r="H24" s="14">
        <v>170.08</v>
      </c>
      <c r="I24" s="14">
        <v>463.756508264154</v>
      </c>
      <c r="J24" s="28">
        <f>I24*18.48</f>
      </c>
      <c r="K24" s="29">
        <v>10.27</v>
      </c>
      <c r="L24" s="29">
        <v>0.24</v>
      </c>
      <c r="M24" t="s">
        <v>202</v>
      </c>
      <c r="N24">
        <f>COUNT(K24:M24)</f>
      </c>
      <c r="O24" t="s">
        <v>204</v>
      </c>
      <c r="P24" t="s">
        <v>203</v>
      </c>
      <c r="Q24" t="s">
        <v>203</v>
      </c>
      <c r="R24" t="s">
        <v>204</v>
      </c>
      <c r="S24" t="s">
        <v>205</v>
      </c>
      <c r="T24" s="8">
        <v>0</v>
      </c>
      <c r="U24" s="29">
        <f>IF(AND(T24=1,ISNUMBER(K24)),K24,"")</f>
      </c>
      <c r="V24" t="s">
        <v>304</v>
      </c>
    </row>
    <row r="25" spans="1:22" x14ac:dyDescent="0.25">
      <c r="A25" t="s">
        <v>305</v>
      </c>
      <c r="B25" t="s">
        <v>306</v>
      </c>
      <c r="C25" t="s">
        <v>307</v>
      </c>
      <c r="D25" t="s">
        <v>262</v>
      </c>
      <c r="E25" t="s">
        <v>286</v>
      </c>
      <c r="F25" t="s">
        <v>308</v>
      </c>
      <c r="G25" t="s">
        <v>201</v>
      </c>
      <c r="H25" s="14">
        <v>1347.24</v>
      </c>
      <c r="I25" s="14">
        <v>12843.1336704335</v>
      </c>
      <c r="J25" s="28">
        <f>I25*18.48</f>
      </c>
      <c r="K25" s="29">
        <v>6.38</v>
      </c>
      <c r="L25" s="29">
        <v>0.4</v>
      </c>
      <c r="M25" t="s">
        <v>202</v>
      </c>
      <c r="N25">
        <f>COUNT(K25:M25)</f>
      </c>
      <c r="O25" t="s">
        <v>204</v>
      </c>
      <c r="P25" t="s">
        <v>203</v>
      </c>
      <c r="Q25" t="s">
        <v>203</v>
      </c>
      <c r="R25" t="s">
        <v>204</v>
      </c>
      <c r="S25" t="s">
        <v>205</v>
      </c>
      <c r="T25" s="8">
        <v>0</v>
      </c>
      <c r="U25" s="29">
        <f>IF(AND(T25=1,ISNUMBER(K25)),K25,"")</f>
      </c>
      <c r="V25" t="s">
        <v>309</v>
      </c>
    </row>
    <row r="26" spans="1:22" x14ac:dyDescent="0.25">
      <c r="A26" t="s">
        <v>310</v>
      </c>
      <c r="B26" t="s">
        <v>311</v>
      </c>
      <c r="C26" t="s">
        <v>312</v>
      </c>
      <c r="D26" t="s">
        <v>313</v>
      </c>
      <c r="E26" t="s">
        <v>314</v>
      </c>
      <c r="F26" t="s">
        <v>313</v>
      </c>
      <c r="G26" t="s">
        <v>213</v>
      </c>
      <c r="H26" s="14">
        <v>186.02</v>
      </c>
      <c r="I26" s="14">
        <v>186.161271258783</v>
      </c>
      <c r="J26" s="28">
        <f>I26*18.48</f>
      </c>
      <c r="K26" s="29">
        <v>46.78</v>
      </c>
      <c r="L26" s="29">
        <v>0.29</v>
      </c>
      <c r="M26" t="s">
        <v>202</v>
      </c>
      <c r="N26">
        <f>COUNT(K26:M26)</f>
      </c>
      <c r="O26" t="s">
        <v>204</v>
      </c>
      <c r="P26" t="s">
        <v>203</v>
      </c>
      <c r="Q26" t="s">
        <v>203</v>
      </c>
      <c r="R26" t="s">
        <v>204</v>
      </c>
      <c r="S26" t="s">
        <v>205</v>
      </c>
      <c r="T26" s="8">
        <v>0</v>
      </c>
      <c r="U26" s="29">
        <f>IF(AND(T26=1,ISNUMBER(K26)),K26,"")</f>
      </c>
      <c r="V26" t="s">
        <v>315</v>
      </c>
    </row>
    <row r="27" spans="1:22" x14ac:dyDescent="0.25">
      <c r="A27" t="s">
        <v>316</v>
      </c>
      <c r="B27" t="s">
        <v>317</v>
      </c>
      <c r="C27" t="s">
        <v>246</v>
      </c>
      <c r="D27" t="s">
        <v>318</v>
      </c>
      <c r="E27" t="s">
        <v>319</v>
      </c>
      <c r="F27" t="s">
        <v>320</v>
      </c>
      <c r="G27" t="s">
        <v>213</v>
      </c>
      <c r="H27" s="14">
        <v>1381.11</v>
      </c>
      <c r="I27" t="s">
        <v>202</v>
      </c>
      <c r="J27" s="28" t="s">
        <v>202</v>
      </c>
      <c r="K27" t="s">
        <v>202</v>
      </c>
      <c r="L27" t="s">
        <v>202</v>
      </c>
      <c r="M27" s="29">
        <v>27.76</v>
      </c>
      <c r="N27">
        <f>COUNT(K27:M27)</f>
      </c>
      <c r="O27" t="s">
        <v>203</v>
      </c>
      <c r="P27" t="s">
        <v>204</v>
      </c>
      <c r="Q27" t="s">
        <v>203</v>
      </c>
      <c r="R27" t="s">
        <v>204</v>
      </c>
      <c r="S27" t="s">
        <v>205</v>
      </c>
      <c r="T27" s="8">
        <v>0</v>
      </c>
      <c r="U27" s="29">
        <f>IF(AND(T27=1,ISNUMBER(K27)),K27,"")</f>
      </c>
      <c r="V27" t="s">
        <v>321</v>
      </c>
    </row>
    <row r="30" spans="1:1" x14ac:dyDescent="0.25">
      <c r="A30" s="3" t="s">
        <v>322</v>
      </c>
    </row>
    <row r="31" ht="30" customHeight="1" spans="1:4" x14ac:dyDescent="0.25">
      <c r="A31" s="4" t="s">
        <v>323</v>
      </c>
      <c r="B31" s="5" t="s">
        <v>183</v>
      </c>
      <c r="C31" s="5" t="s">
        <v>324</v>
      </c>
      <c r="D31" s="5" t="s">
        <v>325</v>
      </c>
    </row>
    <row r="32" spans="1:4" x14ac:dyDescent="0.25">
      <c r="A32" t="s">
        <v>326</v>
      </c>
      <c r="B32" s="29">
        <f>MIN(U5:U27)</f>
      </c>
      <c r="C32" s="26">
        <f>(B32*Supuestos!$B$24+Supuestos!$B$25)/Supuestos!$B$26</f>
      </c>
      <c r="D32" s="26">
        <v>5.077062333333334</v>
      </c>
    </row>
    <row r="33" spans="1:4" x14ac:dyDescent="0.25">
      <c r="A33" t="s">
        <v>327</v>
      </c>
      <c r="B33" s="29">
        <f>QUARTILE(U5:U27,1)</f>
      </c>
      <c r="C33" s="26">
        <f>(B33*Supuestos!$B$24+Supuestos!$B$25)/Supuestos!$B$26</f>
      </c>
      <c r="D33" s="26">
        <v>20.414790645833328</v>
      </c>
    </row>
    <row r="34" spans="1:4" x14ac:dyDescent="0.25">
      <c r="A34" t="s">
        <v>328</v>
      </c>
      <c r="B34" s="29">
        <f>AVERAGE(U5:U27)</f>
      </c>
      <c r="C34" s="26">
        <f>(B34*Supuestos!$B$24+Supuestos!$B$25)/Supuestos!$B$26</f>
      </c>
      <c r="D34" s="26">
        <v>41.674358445833334</v>
      </c>
    </row>
    <row r="35" spans="1:4" x14ac:dyDescent="0.25">
      <c r="A35" t="s">
        <v>329</v>
      </c>
      <c r="B35" s="29">
        <f>MEDIAN(U5:U27)</f>
      </c>
      <c r="C35" s="26">
        <f>(B35*Supuestos!$B$24+Supuestos!$B$25)/Supuestos!$B$26</f>
      </c>
      <c r="D35" s="26">
        <v>23.744800108333333</v>
      </c>
    </row>
    <row r="36" spans="1:4" x14ac:dyDescent="0.25">
      <c r="A36" t="s">
        <v>330</v>
      </c>
      <c r="B36" s="29">
        <f>QUARTILE(U5:U27,3)</f>
      </c>
      <c r="C36" s="26">
        <f>(B36*Supuestos!$B$24+Supuestos!$B$25)/Supuestos!$B$26</f>
      </c>
      <c r="D36" s="26">
        <v>49.18738472083333</v>
      </c>
    </row>
    <row r="37" spans="1:4" x14ac:dyDescent="0.25">
      <c r="A37" t="s">
        <v>331</v>
      </c>
      <c r="B37" s="29">
        <f>MAX(U5:U27)</f>
      </c>
      <c r="C37" s="26">
        <f>(B37*Supuestos!$B$24+Supuestos!$B$25)/Supuestos!$B$26</f>
      </c>
      <c r="D37" s="26">
        <v>130.46914278333333</v>
      </c>
    </row>
    <row r="38" spans="1:2" x14ac:dyDescent="0.25">
      <c r="A38" t="s">
        <v>332</v>
      </c>
      <c r="B38" s="19">
        <f>COUNT(U5:U27)</f>
      </c>
    </row>
    <row r="39" spans="1:2" x14ac:dyDescent="0.25">
      <c r="A39" s="17" t="s">
        <v>333</v>
      </c>
      <c r="B39" s="25">
        <f>C35</f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FormatPr defaultRowHeight="15" outlineLevelRow="0" outlineLevelCol="0" x14ac:dyDescent="55"/>
  <cols>
    <col min="1" max="1" width="38" customWidth="1"/>
    <col min="2" max="2" width="18" customWidth="1"/>
    <col min="3" max="3" width="10" customWidth="1"/>
    <col min="4" max="4" width="16" customWidth="1"/>
    <col min="5" max="5" width="48" customWidth="1"/>
  </cols>
  <sheetData>
    <row r="1" spans="1:1" x14ac:dyDescent="0.25">
      <c r="A1" s="1" t="s">
        <v>334</v>
      </c>
    </row>
    <row r="2" spans="1:1" x14ac:dyDescent="0.25">
      <c r="A2" s="2" t="s">
        <v>335</v>
      </c>
    </row>
    <row r="3" ht="30" customHeight="1" spans="1:5" x14ac:dyDescent="0.25">
      <c r="A3" s="4" t="s">
        <v>336</v>
      </c>
      <c r="B3" s="5" t="s">
        <v>337</v>
      </c>
      <c r="C3" s="5" t="s">
        <v>338</v>
      </c>
      <c r="D3" s="5" t="s">
        <v>339</v>
      </c>
      <c r="E3" s="5" t="s">
        <v>340</v>
      </c>
    </row>
    <row r="4" spans="1:5" x14ac:dyDescent="0.25">
      <c r="A4" t="s">
        <v>341</v>
      </c>
      <c r="B4" s="26">
        <f>'FCFF y valuación'!$B$32</f>
      </c>
      <c r="C4" s="10">
        <v>0.5</v>
      </c>
      <c r="D4" s="26">
        <f>IF(ISNUMBER(B4),B4*C4,0)</f>
      </c>
      <c r="E4" t="s">
        <v>342</v>
      </c>
    </row>
    <row r="5" spans="1:5" x14ac:dyDescent="0.25">
      <c r="A5" t="s">
        <v>29</v>
      </c>
      <c r="B5" s="26">
        <v>33.49284085449735</v>
      </c>
      <c r="C5" s="10">
        <v>0.5</v>
      </c>
      <c r="D5" s="26">
        <f>IF(ISNUMBER(B5),B5*C5,0)</f>
      </c>
      <c r="E5" t="s">
        <v>343</v>
      </c>
    </row>
    <row r="6" spans="1:5" x14ac:dyDescent="0.25">
      <c r="A6" t="s">
        <v>344</v>
      </c>
      <c r="B6" s="26">
        <f>'Transacciones SDC'!$B$39</f>
      </c>
      <c r="C6" s="10">
        <v>0</v>
      </c>
      <c r="D6" s="26">
        <f>IF(ISNUMBER(B6),B6*C6,0)</f>
      </c>
      <c r="E6" t="s">
        <v>345</v>
      </c>
    </row>
    <row r="7" spans="1:3" x14ac:dyDescent="0.25">
      <c r="A7" s="17" t="s">
        <v>33</v>
      </c>
      <c r="B7" s="25">
        <f>SUM(D4:D6)/C7</f>
      </c>
      <c r="C7" s="30">
        <f>SUM(C4:C6)</f>
      </c>
    </row>
    <row r="9" spans="1:2" x14ac:dyDescent="0.25">
      <c r="A9" t="s">
        <v>6</v>
      </c>
      <c r="B9" s="26">
        <f>Supuestos!$B$23</f>
      </c>
    </row>
    <row r="10" spans="1:2" x14ac:dyDescent="0.25">
      <c r="A10" t="s">
        <v>346</v>
      </c>
      <c r="B10" s="27">
        <f>B7/B9-1</f>
      </c>
    </row>
    <row r="11" spans="1:2" x14ac:dyDescent="0.25">
      <c r="A11" t="s">
        <v>35</v>
      </c>
      <c r="B11" s="31">
        <f>IF(B10&gt;Supuestos!$B$27,"COMPRAR",IF(B10&lt;Supuestos!$B$28,"VENDER","MANTENER"))</f>
      </c>
    </row>
    <row r="13" spans="1:2" x14ac:dyDescent="0.25">
      <c r="A13" t="s">
        <v>347</v>
      </c>
      <c r="B13" s="26">
        <v>35.91645958273773</v>
      </c>
    </row>
    <row r="14" spans="1:2" x14ac:dyDescent="0.25">
      <c r="A14" t="s">
        <v>348</v>
      </c>
      <c r="B14" t="s">
        <v>349</v>
      </c>
    </row>
    <row r="15" spans="1:1" x14ac:dyDescent="0.25">
      <c r="A15" s="2" t="s">
        <v>350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FormatPr defaultRowHeight="15" outlineLevelRow="0" outlineLevelCol="0" x14ac:dyDescent="55"/>
  <cols>
    <col min="1" max="1" width="44" customWidth="1"/>
    <col min="2" max="2" width="22" customWidth="1"/>
  </cols>
  <sheetData>
    <row r="1" spans="1:1" x14ac:dyDescent="0.25">
      <c r="A1" s="1" t="s">
        <v>351</v>
      </c>
    </row>
    <row r="2" spans="1:1" x14ac:dyDescent="0.25">
      <c r="A2" s="2" t="s">
        <v>352</v>
      </c>
    </row>
    <row r="3" spans="1:1" x14ac:dyDescent="0.25">
      <c r="A3" s="3" t="s">
        <v>353</v>
      </c>
    </row>
    <row r="4" ht="30" customHeight="1" spans="1:2" x14ac:dyDescent="0.25">
      <c r="A4" s="4" t="s">
        <v>100</v>
      </c>
      <c r="B4" s="5" t="s">
        <v>22</v>
      </c>
    </row>
    <row r="5" spans="1:2" x14ac:dyDescent="0.25">
      <c r="A5" s="32" t="s">
        <v>23</v>
      </c>
      <c r="B5" s="33" t="s">
        <v>24</v>
      </c>
    </row>
    <row r="6" spans="1:2" x14ac:dyDescent="0.25">
      <c r="A6" s="34" t="s">
        <v>8</v>
      </c>
      <c r="B6" s="35" t="s">
        <v>9</v>
      </c>
    </row>
    <row r="7" spans="1:2" x14ac:dyDescent="0.25">
      <c r="A7" s="32" t="s">
        <v>25</v>
      </c>
      <c r="B7" s="33" t="s">
        <v>26</v>
      </c>
    </row>
    <row r="8" spans="1:2" x14ac:dyDescent="0.25">
      <c r="A8" s="34" t="s">
        <v>27</v>
      </c>
      <c r="B8" s="35" t="s">
        <v>28</v>
      </c>
    </row>
    <row r="9" spans="1:2" x14ac:dyDescent="0.25">
      <c r="A9" s="32" t="s">
        <v>29</v>
      </c>
      <c r="B9" s="33" t="s">
        <v>30</v>
      </c>
    </row>
    <row r="10" spans="1:2" x14ac:dyDescent="0.25">
      <c r="A10" s="34" t="s">
        <v>31</v>
      </c>
      <c r="B10" s="34" t="s">
        <v>32</v>
      </c>
    </row>
    <row r="11" spans="1:2" x14ac:dyDescent="0.25">
      <c r="A11" s="32" t="s">
        <v>33</v>
      </c>
      <c r="B11" s="32" t="s">
        <v>34</v>
      </c>
    </row>
    <row r="12" spans="1:2" x14ac:dyDescent="0.25">
      <c r="A12" s="34" t="s">
        <v>35</v>
      </c>
      <c r="B12" s="34" t="s">
        <v>36</v>
      </c>
    </row>
    <row r="13" spans="1:2" x14ac:dyDescent="0.25">
      <c r="A13" s="32" t="s">
        <v>37</v>
      </c>
      <c r="B13" s="33" t="s">
        <v>38</v>
      </c>
    </row>
    <row r="14" spans="1:2" x14ac:dyDescent="0.25">
      <c r="A14" s="34" t="s">
        <v>39</v>
      </c>
      <c r="B14" s="35" t="s">
        <v>40</v>
      </c>
    </row>
    <row r="15" spans="1:2" x14ac:dyDescent="0.25">
      <c r="A15" s="32" t="s">
        <v>41</v>
      </c>
      <c r="B15" s="33" t="s">
        <v>42</v>
      </c>
    </row>
    <row r="16" spans="1:2" x14ac:dyDescent="0.25">
      <c r="A16" s="34" t="s">
        <v>43</v>
      </c>
      <c r="B16" s="35" t="s">
        <v>44</v>
      </c>
    </row>
    <row r="17" spans="1:2" x14ac:dyDescent="0.25">
      <c r="A17" s="32" t="s">
        <v>45</v>
      </c>
      <c r="B17" s="36">
        <v>0.703</v>
      </c>
    </row>
    <row r="18" spans="1:1" x14ac:dyDescent="0.25">
      <c r="A18" s="2" t="s">
        <v>354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FormatPr defaultRowHeight="15" outlineLevelRow="0" outlineLevelCol="0" x14ac:dyDescent="55"/>
  <cols>
    <col min="1" max="1" width="44" customWidth="1"/>
    <col min="2" max="2" width="22" customWidth="1"/>
  </cols>
  <sheetData>
    <row r="1" spans="1:1" x14ac:dyDescent="0.25">
      <c r="A1" s="1" t="s">
        <v>355</v>
      </c>
    </row>
    <row r="2" spans="1:1" x14ac:dyDescent="0.25">
      <c r="A2" s="2" t="s">
        <v>352</v>
      </c>
    </row>
    <row r="3" spans="1:1" x14ac:dyDescent="0.25">
      <c r="A3" s="3" t="s">
        <v>356</v>
      </c>
    </row>
    <row r="4" ht="30" customHeight="1" spans="1:2" x14ac:dyDescent="0.25">
      <c r="A4" s="4" t="s">
        <v>357</v>
      </c>
      <c r="B4" s="5" t="s">
        <v>22</v>
      </c>
    </row>
    <row r="5" spans="1:2" x14ac:dyDescent="0.25">
      <c r="A5" s="32" t="s">
        <v>358</v>
      </c>
      <c r="B5" s="33" t="s">
        <v>359</v>
      </c>
    </row>
    <row r="6" spans="1:2" x14ac:dyDescent="0.25">
      <c r="A6" s="34" t="s">
        <v>360</v>
      </c>
      <c r="B6" s="35" t="s">
        <v>361</v>
      </c>
    </row>
    <row r="7" spans="1:2" x14ac:dyDescent="0.25">
      <c r="A7" s="32" t="s">
        <v>6</v>
      </c>
      <c r="B7" s="33" t="s">
        <v>362</v>
      </c>
    </row>
    <row r="8" spans="1:2" x14ac:dyDescent="0.25">
      <c r="A8" s="34" t="s">
        <v>8</v>
      </c>
      <c r="B8" s="35" t="s">
        <v>9</v>
      </c>
    </row>
    <row r="9" spans="1:2" x14ac:dyDescent="0.25">
      <c r="A9" s="32" t="s">
        <v>363</v>
      </c>
      <c r="B9" s="33" t="s">
        <v>364</v>
      </c>
    </row>
    <row r="10" spans="1:1" x14ac:dyDescent="0.25">
      <c r="A10" s="2" t="s">
        <v>365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FormatPr defaultRowHeight="15" outlineLevelRow="0" outlineLevelCol="0" x14ac:dyDescent="55"/>
  <cols>
    <col min="1" max="1" width="44" customWidth="1"/>
    <col min="2" max="7" width="22" customWidth="1"/>
  </cols>
  <sheetData>
    <row r="1" spans="1:1" x14ac:dyDescent="0.25">
      <c r="A1" s="1" t="s">
        <v>366</v>
      </c>
    </row>
    <row r="2" spans="1:1" x14ac:dyDescent="0.25">
      <c r="A2" s="2" t="s">
        <v>352</v>
      </c>
    </row>
    <row r="3" spans="1:1" x14ac:dyDescent="0.25">
      <c r="A3" s="3" t="s">
        <v>367</v>
      </c>
    </row>
    <row r="4" ht="30" customHeight="1" spans="1:7" x14ac:dyDescent="0.25">
      <c r="A4" s="4" t="s">
        <v>368</v>
      </c>
      <c r="B4" s="5" t="s">
        <v>368</v>
      </c>
      <c r="C4" s="5" t="s">
        <v>22</v>
      </c>
      <c r="D4" s="5" t="s">
        <v>357</v>
      </c>
      <c r="E4" s="5" t="s">
        <v>51</v>
      </c>
      <c r="F4" s="5" t="s">
        <v>369</v>
      </c>
      <c r="G4" s="5" t="s">
        <v>52</v>
      </c>
    </row>
    <row r="5" spans="1:7" x14ac:dyDescent="0.25">
      <c r="A5" s="32" t="s">
        <v>370</v>
      </c>
      <c r="B5" s="33" t="s">
        <v>371</v>
      </c>
      <c r="C5" s="33" t="s">
        <v>372</v>
      </c>
      <c r="D5" s="33" t="s">
        <v>373</v>
      </c>
      <c r="E5" s="33" t="s">
        <v>374</v>
      </c>
      <c r="F5" s="33" t="s">
        <v>375</v>
      </c>
      <c r="G5" s="32" t="s">
        <v>376</v>
      </c>
    </row>
    <row r="6" spans="1:7" x14ac:dyDescent="0.25">
      <c r="A6" s="34" t="s">
        <v>377</v>
      </c>
      <c r="B6" s="35" t="s">
        <v>378</v>
      </c>
      <c r="C6" s="37">
        <v>0.0351</v>
      </c>
      <c r="D6" s="35" t="s">
        <v>373</v>
      </c>
      <c r="E6" s="35" t="s">
        <v>374</v>
      </c>
      <c r="F6" s="35" t="s">
        <v>379</v>
      </c>
      <c r="G6" s="34" t="s">
        <v>380</v>
      </c>
    </row>
    <row r="7" spans="1:7" x14ac:dyDescent="0.25">
      <c r="A7" s="32" t="s">
        <v>381</v>
      </c>
      <c r="B7" s="33" t="s">
        <v>382</v>
      </c>
      <c r="C7" s="38">
        <v>0.0326</v>
      </c>
      <c r="D7" s="33" t="s">
        <v>373</v>
      </c>
      <c r="E7" s="33" t="s">
        <v>374</v>
      </c>
      <c r="F7" s="33" t="s">
        <v>50</v>
      </c>
      <c r="G7" s="32" t="s">
        <v>383</v>
      </c>
    </row>
    <row r="8" spans="1:7" x14ac:dyDescent="0.25">
      <c r="A8" s="34" t="s">
        <v>384</v>
      </c>
      <c r="B8" s="35" t="s">
        <v>385</v>
      </c>
      <c r="C8" s="37">
        <v>0.04</v>
      </c>
      <c r="D8" s="35" t="s">
        <v>386</v>
      </c>
      <c r="E8" s="35" t="s">
        <v>374</v>
      </c>
      <c r="F8" s="35" t="s">
        <v>50</v>
      </c>
      <c r="G8" s="34" t="s">
        <v>387</v>
      </c>
    </row>
    <row r="9" spans="1:7" x14ac:dyDescent="0.25">
      <c r="A9" s="32" t="s">
        <v>388</v>
      </c>
      <c r="B9" s="33" t="s">
        <v>389</v>
      </c>
      <c r="C9" s="33" t="s">
        <v>390</v>
      </c>
      <c r="D9" s="33" t="s">
        <v>391</v>
      </c>
      <c r="E9" s="33" t="s">
        <v>374</v>
      </c>
      <c r="F9" s="33" t="s">
        <v>392</v>
      </c>
      <c r="G9" s="32" t="s">
        <v>393</v>
      </c>
    </row>
    <row r="10" spans="1:7" x14ac:dyDescent="0.25">
      <c r="A10" s="34" t="s">
        <v>394</v>
      </c>
      <c r="B10" s="35" t="s">
        <v>395</v>
      </c>
      <c r="C10" s="39">
        <v>0.170520815748403</v>
      </c>
      <c r="D10" s="35" t="s">
        <v>396</v>
      </c>
      <c r="E10" s="35" t="s">
        <v>59</v>
      </c>
      <c r="F10" s="35" t="s">
        <v>379</v>
      </c>
      <c r="G10" s="34" t="s">
        <v>397</v>
      </c>
    </row>
    <row r="11" spans="1:7" x14ac:dyDescent="0.25">
      <c r="A11" s="32" t="s">
        <v>398</v>
      </c>
      <c r="B11" s="33" t="s">
        <v>399</v>
      </c>
      <c r="C11" s="40">
        <v>0.8</v>
      </c>
      <c r="D11" s="33" t="s">
        <v>386</v>
      </c>
      <c r="E11" s="33" t="s">
        <v>59</v>
      </c>
      <c r="F11" s="33" t="s">
        <v>392</v>
      </c>
      <c r="G11" s="32" t="s">
        <v>400</v>
      </c>
    </row>
    <row r="12" spans="1:7" x14ac:dyDescent="0.25">
      <c r="A12" s="34" t="s">
        <v>401</v>
      </c>
      <c r="B12" s="35" t="s">
        <v>402</v>
      </c>
      <c r="C12" s="37">
        <v>0.1</v>
      </c>
      <c r="D12" s="35" t="s">
        <v>391</v>
      </c>
      <c r="E12" s="35" t="s">
        <v>403</v>
      </c>
      <c r="F12" s="35" t="s">
        <v>50</v>
      </c>
      <c r="G12" s="34" t="s">
        <v>404</v>
      </c>
    </row>
    <row r="13" spans="1:7" x14ac:dyDescent="0.25">
      <c r="A13" s="32" t="s">
        <v>405</v>
      </c>
      <c r="B13" s="33" t="s">
        <v>406</v>
      </c>
      <c r="C13" s="41">
        <v>0.09516999999999999</v>
      </c>
      <c r="D13" s="33" t="s">
        <v>362</v>
      </c>
      <c r="E13" s="33" t="s">
        <v>374</v>
      </c>
      <c r="F13" s="33" t="s">
        <v>375</v>
      </c>
      <c r="G13" s="32" t="s">
        <v>407</v>
      </c>
    </row>
    <row r="14" spans="1:7" x14ac:dyDescent="0.25">
      <c r="A14" s="34" t="s">
        <v>56</v>
      </c>
      <c r="B14" s="35" t="s">
        <v>408</v>
      </c>
      <c r="C14" s="37">
        <v>0.042300000000000004</v>
      </c>
      <c r="D14" s="35" t="s">
        <v>409</v>
      </c>
      <c r="E14" s="35" t="s">
        <v>374</v>
      </c>
      <c r="F14" s="35" t="s">
        <v>375</v>
      </c>
      <c r="G14" s="34" t="s">
        <v>410</v>
      </c>
    </row>
    <row r="15" spans="1:7" x14ac:dyDescent="0.25">
      <c r="A15" s="32" t="s">
        <v>411</v>
      </c>
      <c r="B15" s="33" t="s">
        <v>412</v>
      </c>
      <c r="C15" s="38">
        <v>0.035</v>
      </c>
      <c r="D15" s="33" t="s">
        <v>413</v>
      </c>
      <c r="E15" s="33" t="s">
        <v>374</v>
      </c>
      <c r="F15" s="33" t="s">
        <v>50</v>
      </c>
      <c r="G15" s="32" t="s">
        <v>414</v>
      </c>
    </row>
    <row r="16" spans="1:7" x14ac:dyDescent="0.25">
      <c r="A16" s="34" t="s">
        <v>415</v>
      </c>
      <c r="B16" s="35" t="s">
        <v>29</v>
      </c>
      <c r="C16" s="35" t="s">
        <v>416</v>
      </c>
      <c r="D16" s="35" t="s">
        <v>417</v>
      </c>
      <c r="E16" s="35" t="s">
        <v>59</v>
      </c>
      <c r="F16" s="35" t="s">
        <v>375</v>
      </c>
      <c r="G16" s="34" t="s">
        <v>418</v>
      </c>
    </row>
    <row r="17" spans="1:7" x14ac:dyDescent="0.25">
      <c r="A17" s="32" t="s">
        <v>419</v>
      </c>
      <c r="B17" s="33" t="s">
        <v>344</v>
      </c>
      <c r="C17" s="33" t="s">
        <v>420</v>
      </c>
      <c r="D17" s="33" t="s">
        <v>386</v>
      </c>
      <c r="E17" s="33" t="s">
        <v>421</v>
      </c>
      <c r="F17" s="33" t="s">
        <v>375</v>
      </c>
      <c r="G17" s="32" t="s">
        <v>422</v>
      </c>
    </row>
    <row r="18" spans="1:7" x14ac:dyDescent="0.25">
      <c r="A18" s="34" t="s">
        <v>423</v>
      </c>
      <c r="B18" s="35" t="s">
        <v>424</v>
      </c>
      <c r="C18" s="35" t="s">
        <v>62</v>
      </c>
      <c r="D18" s="35" t="s">
        <v>417</v>
      </c>
      <c r="E18" s="35" t="s">
        <v>89</v>
      </c>
      <c r="F18" s="35" t="s">
        <v>375</v>
      </c>
      <c r="G18" s="34" t="s">
        <v>425</v>
      </c>
    </row>
    <row r="19" spans="1:7" x14ac:dyDescent="0.25">
      <c r="A19" s="32" t="s">
        <v>426</v>
      </c>
      <c r="B19" s="33" t="s">
        <v>427</v>
      </c>
      <c r="C19" s="33" t="s">
        <v>428</v>
      </c>
      <c r="D19" s="33" t="s">
        <v>386</v>
      </c>
      <c r="E19" s="33" t="s">
        <v>403</v>
      </c>
      <c r="F19" s="33" t="s">
        <v>50</v>
      </c>
      <c r="G19" s="32" t="s">
        <v>429</v>
      </c>
    </row>
    <row r="20" spans="1:7" x14ac:dyDescent="0.25">
      <c r="A20" s="34" t="s">
        <v>430</v>
      </c>
      <c r="B20" s="35" t="s">
        <v>431</v>
      </c>
      <c r="C20" s="35" t="s">
        <v>432</v>
      </c>
      <c r="D20" s="35" t="s">
        <v>433</v>
      </c>
      <c r="E20" s="35" t="s">
        <v>434</v>
      </c>
      <c r="F20" s="35" t="s">
        <v>375</v>
      </c>
      <c r="G20" s="34" t="s">
        <v>435</v>
      </c>
    </row>
    <row r="21" spans="1:7" x14ac:dyDescent="0.25">
      <c r="A21" s="32" t="s">
        <v>436</v>
      </c>
      <c r="B21" s="33" t="s">
        <v>437</v>
      </c>
      <c r="C21" s="33" t="s">
        <v>438</v>
      </c>
      <c r="D21" s="33" t="s">
        <v>433</v>
      </c>
      <c r="E21" s="33" t="s">
        <v>439</v>
      </c>
      <c r="F21" s="33" t="s">
        <v>392</v>
      </c>
      <c r="G21" s="32" t="s">
        <v>440</v>
      </c>
    </row>
    <row r="22" spans="1:7" x14ac:dyDescent="0.25">
      <c r="A22" s="34" t="s">
        <v>441</v>
      </c>
      <c r="B22" s="35" t="s">
        <v>442</v>
      </c>
      <c r="C22" s="35" t="s">
        <v>442</v>
      </c>
      <c r="D22" s="35" t="s">
        <v>442</v>
      </c>
      <c r="E22" s="35" t="s">
        <v>442</v>
      </c>
      <c r="F22" s="35" t="s">
        <v>442</v>
      </c>
      <c r="G22" s="35" t="s">
        <v>442</v>
      </c>
    </row>
    <row r="23" spans="1:1" x14ac:dyDescent="0.25">
      <c r="A23" s="42" t="s">
        <v>443</v>
      </c>
    </row>
    <row r="24" spans="1:1" x14ac:dyDescent="0.25">
      <c r="A24" s="2" t="s">
        <v>444</v>
      </c>
    </row>
    <row r="26" spans="1:1" x14ac:dyDescent="0.25">
      <c r="A26" s="3" t="s">
        <v>445</v>
      </c>
    </row>
    <row r="27" ht="30" customHeight="1" spans="1:3" x14ac:dyDescent="0.25">
      <c r="A27" s="4" t="s">
        <v>52</v>
      </c>
      <c r="B27" s="5" t="s">
        <v>446</v>
      </c>
      <c r="C27" s="5" t="s">
        <v>447</v>
      </c>
    </row>
    <row r="28" spans="1:3" x14ac:dyDescent="0.25">
      <c r="A28" s="32" t="s">
        <v>448</v>
      </c>
      <c r="B28" s="32" t="s">
        <v>449</v>
      </c>
      <c r="C28" s="32" t="s">
        <v>450</v>
      </c>
    </row>
    <row r="29" spans="1:3" x14ac:dyDescent="0.25">
      <c r="A29" s="34" t="s">
        <v>451</v>
      </c>
      <c r="B29" s="34" t="s">
        <v>452</v>
      </c>
      <c r="C29" s="34" t="s">
        <v>453</v>
      </c>
    </row>
    <row r="30" spans="1:3" x14ac:dyDescent="0.25">
      <c r="A30" s="32" t="s">
        <v>454</v>
      </c>
      <c r="B30" s="32" t="s">
        <v>455</v>
      </c>
      <c r="C30" s="32" t="s">
        <v>456</v>
      </c>
    </row>
    <row r="31" spans="1:3" x14ac:dyDescent="0.25">
      <c r="A31" s="34" t="s">
        <v>457</v>
      </c>
      <c r="B31" s="34" t="s">
        <v>458</v>
      </c>
      <c r="C31" s="34" t="s">
        <v>459</v>
      </c>
    </row>
    <row r="32" spans="1:3" x14ac:dyDescent="0.25">
      <c r="A32" s="32" t="s">
        <v>460</v>
      </c>
      <c r="B32" s="32" t="s">
        <v>461</v>
      </c>
      <c r="C32" s="32" t="s">
        <v>462</v>
      </c>
    </row>
    <row r="33" spans="1:3" x14ac:dyDescent="0.25">
      <c r="A33" s="34" t="s">
        <v>463</v>
      </c>
      <c r="B33" s="34" t="s">
        <v>464</v>
      </c>
      <c r="C33" s="34" t="s">
        <v>465</v>
      </c>
    </row>
    <row r="34" spans="1:3" x14ac:dyDescent="0.25">
      <c r="A34" s="32" t="s">
        <v>466</v>
      </c>
      <c r="B34" s="33" t="s">
        <v>467</v>
      </c>
      <c r="C34" s="32" t="s">
        <v>468</v>
      </c>
    </row>
    <row r="35" spans="1:3" x14ac:dyDescent="0.25">
      <c r="A35" s="34" t="s">
        <v>469</v>
      </c>
      <c r="B35" s="34" t="s">
        <v>470</v>
      </c>
      <c r="C35" s="34" t="s">
        <v>471</v>
      </c>
    </row>
    <row r="36" spans="1:3" x14ac:dyDescent="0.25">
      <c r="A36" s="32" t="s">
        <v>463</v>
      </c>
      <c r="B36" s="33" t="s">
        <v>472</v>
      </c>
      <c r="C36" s="33" t="s">
        <v>473</v>
      </c>
    </row>
    <row r="37" spans="1:3" x14ac:dyDescent="0.25">
      <c r="A37" s="34" t="s">
        <v>474</v>
      </c>
      <c r="B37" s="35" t="s">
        <v>475</v>
      </c>
      <c r="C37" s="34" t="s">
        <v>476</v>
      </c>
    </row>
    <row r="38" spans="1:3" x14ac:dyDescent="0.25">
      <c r="A38" s="32" t="s">
        <v>477</v>
      </c>
      <c r="B38" s="33" t="s">
        <v>478</v>
      </c>
      <c r="C38" s="32" t="s">
        <v>479</v>
      </c>
    </row>
    <row r="39" spans="1:1" x14ac:dyDescent="0.25">
      <c r="A39" s="2" t="s">
        <v>365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FormatPr defaultRowHeight="15" outlineLevelRow="0" outlineLevelCol="0" x14ac:dyDescent="55"/>
  <cols>
    <col min="1" max="1" width="44" customWidth="1"/>
    <col min="2" max="9" width="14" customWidth="1"/>
  </cols>
  <sheetData>
    <row r="1" spans="1:1" x14ac:dyDescent="0.25">
      <c r="A1" s="1" t="s">
        <v>480</v>
      </c>
    </row>
    <row r="2" spans="1:1" x14ac:dyDescent="0.25">
      <c r="A2" s="2" t="s">
        <v>352</v>
      </c>
    </row>
    <row r="3" spans="1:1" x14ac:dyDescent="0.25">
      <c r="A3" s="3" t="s">
        <v>481</v>
      </c>
    </row>
    <row r="4" ht="30" customHeight="1" spans="1:9" x14ac:dyDescent="0.25">
      <c r="A4" s="4" t="s">
        <v>4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 t="s">
        <v>482</v>
      </c>
      <c r="H4" s="5" t="s">
        <v>483</v>
      </c>
      <c r="I4" s="5" t="s">
        <v>52</v>
      </c>
    </row>
    <row r="5" spans="1:9" x14ac:dyDescent="0.25">
      <c r="A5" s="32" t="s">
        <v>484</v>
      </c>
      <c r="B5" s="38">
        <v>0.0326</v>
      </c>
      <c r="C5" s="38">
        <v>0.0326</v>
      </c>
      <c r="D5" s="38">
        <v>0.0326</v>
      </c>
      <c r="E5" s="38">
        <v>0.0326</v>
      </c>
      <c r="F5" s="38">
        <v>0.0326</v>
      </c>
      <c r="G5" s="43">
        <v>37.93</v>
      </c>
      <c r="H5" s="33" t="s">
        <v>485</v>
      </c>
      <c r="I5" s="32" t="s">
        <v>486</v>
      </c>
    </row>
    <row r="6" spans="1:9" s="17" customFormat="1" x14ac:dyDescent="0.25">
      <c r="A6" s="44" t="s">
        <v>487</v>
      </c>
      <c r="B6" s="45">
        <v>0.0351</v>
      </c>
      <c r="C6" s="45">
        <v>0.0351</v>
      </c>
      <c r="D6" s="45">
        <v>0.0351</v>
      </c>
      <c r="E6" s="45">
        <v>0.0351</v>
      </c>
      <c r="F6" s="45">
        <v>0.0351</v>
      </c>
      <c r="G6" s="46">
        <v>38.34</v>
      </c>
      <c r="H6" s="47" t="s">
        <v>488</v>
      </c>
      <c r="I6" s="44" t="s">
        <v>489</v>
      </c>
    </row>
    <row r="7" spans="1:9" x14ac:dyDescent="0.25">
      <c r="A7" s="32" t="s">
        <v>490</v>
      </c>
      <c r="B7" s="38">
        <v>0.04</v>
      </c>
      <c r="C7" s="38">
        <v>0.04</v>
      </c>
      <c r="D7" s="38">
        <v>0.04</v>
      </c>
      <c r="E7" s="38">
        <v>0.04</v>
      </c>
      <c r="F7" s="38">
        <v>0.04</v>
      </c>
      <c r="G7" s="43">
        <v>39.14</v>
      </c>
      <c r="H7" s="32" t="s">
        <v>491</v>
      </c>
      <c r="I7" s="32" t="s">
        <v>492</v>
      </c>
    </row>
    <row r="8" spans="1:9" x14ac:dyDescent="0.25">
      <c r="A8" s="34" t="s">
        <v>493</v>
      </c>
      <c r="B8" s="37">
        <v>0.0393</v>
      </c>
      <c r="C8" s="37">
        <v>0.0383</v>
      </c>
      <c r="D8" s="37">
        <v>0.0375</v>
      </c>
      <c r="E8" s="37">
        <v>0.0375</v>
      </c>
      <c r="F8" s="37">
        <v>0.0375</v>
      </c>
      <c r="G8" s="48">
        <v>38.82</v>
      </c>
      <c r="H8" s="35" t="s">
        <v>494</v>
      </c>
      <c r="I8" s="34" t="s">
        <v>495</v>
      </c>
    </row>
    <row r="9" spans="1:1" x14ac:dyDescent="0.25">
      <c r="A9" s="42" t="s">
        <v>496</v>
      </c>
    </row>
    <row r="10" spans="1:1" x14ac:dyDescent="0.25">
      <c r="A10" s="2" t="s">
        <v>497</v>
      </c>
    </row>
    <row r="12" spans="1:1" x14ac:dyDescent="0.25">
      <c r="A12" s="3" t="s">
        <v>498</v>
      </c>
    </row>
    <row r="13" ht="30" customHeight="1" spans="1:6" x14ac:dyDescent="0.25">
      <c r="A13" s="4" t="s">
        <v>100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</row>
    <row r="14" spans="1:6" x14ac:dyDescent="0.25">
      <c r="A14" s="32" t="s">
        <v>499</v>
      </c>
      <c r="B14" s="38">
        <v>0.0351</v>
      </c>
      <c r="C14" s="38">
        <v>0.0351</v>
      </c>
      <c r="D14" s="38">
        <v>0.0351</v>
      </c>
      <c r="E14" s="38">
        <v>0.0351</v>
      </c>
      <c r="F14" s="38">
        <v>0.0351</v>
      </c>
    </row>
    <row r="15" spans="1:6" x14ac:dyDescent="0.25">
      <c r="A15" s="34" t="s">
        <v>500</v>
      </c>
      <c r="B15" s="37">
        <v>0.0021</v>
      </c>
      <c r="C15" s="37">
        <v>0.0291</v>
      </c>
      <c r="D15" s="37">
        <v>0.0401</v>
      </c>
      <c r="E15" s="37">
        <v>0.0451</v>
      </c>
      <c r="F15" s="37">
        <v>0.0451</v>
      </c>
    </row>
    <row r="16" spans="1:6" x14ac:dyDescent="0.25">
      <c r="A16" s="32" t="s">
        <v>501</v>
      </c>
      <c r="B16" s="49">
        <v>-0.038900000000000004</v>
      </c>
      <c r="C16" s="38">
        <v>0.0060999999999999995</v>
      </c>
      <c r="D16" s="38">
        <v>0.0346</v>
      </c>
      <c r="E16" s="38">
        <v>0.0441</v>
      </c>
      <c r="F16" s="38">
        <v>0.0466</v>
      </c>
    </row>
    <row r="17" spans="1:6" x14ac:dyDescent="0.25">
      <c r="A17" s="34" t="s">
        <v>502</v>
      </c>
      <c r="B17" s="50">
        <v>-0.0678</v>
      </c>
      <c r="C17" s="37">
        <v>0.0351</v>
      </c>
      <c r="D17" s="37">
        <v>0.0351</v>
      </c>
      <c r="E17" s="37">
        <v>0.0351</v>
      </c>
      <c r="F17" s="37">
        <v>0.0351</v>
      </c>
    </row>
    <row r="18" spans="1:6" x14ac:dyDescent="0.25">
      <c r="A18" s="32" t="s">
        <v>503</v>
      </c>
      <c r="B18" s="51">
        <v>0.7</v>
      </c>
      <c r="C18" s="51">
        <v>0.7</v>
      </c>
      <c r="D18" s="51">
        <v>0.75</v>
      </c>
      <c r="E18" s="51">
        <v>0.8</v>
      </c>
      <c r="F18" s="51">
        <v>0.85</v>
      </c>
    </row>
    <row r="19" spans="1:6" s="17" customFormat="1" x14ac:dyDescent="0.25">
      <c r="A19" s="44" t="s">
        <v>504</v>
      </c>
      <c r="B19" s="52">
        <v>-0.047599999999999996</v>
      </c>
      <c r="C19" s="45">
        <v>0.0148</v>
      </c>
      <c r="D19" s="45">
        <v>0.0347</v>
      </c>
      <c r="E19" s="45">
        <v>0.042300000000000004</v>
      </c>
      <c r="F19" s="45">
        <v>0.0449</v>
      </c>
    </row>
    <row r="20" spans="1:6" x14ac:dyDescent="0.25">
      <c r="A20" s="32" t="s">
        <v>138</v>
      </c>
      <c r="B20" s="53">
        <v>169070.4</v>
      </c>
      <c r="C20" s="53">
        <v>171572.6</v>
      </c>
      <c r="D20" s="53">
        <v>177530.5</v>
      </c>
      <c r="E20" s="53">
        <v>185040</v>
      </c>
      <c r="F20" s="53">
        <v>193343.7</v>
      </c>
    </row>
    <row r="21" spans="1:6" x14ac:dyDescent="0.25">
      <c r="A21" s="34" t="s">
        <v>505</v>
      </c>
      <c r="B21" s="37">
        <v>0.043899999999999995</v>
      </c>
      <c r="C21" s="37">
        <v>0.0437</v>
      </c>
      <c r="D21" s="37">
        <v>0.043899999999999995</v>
      </c>
      <c r="E21" s="37">
        <v>0.0441</v>
      </c>
      <c r="F21" s="37">
        <v>0.0443</v>
      </c>
    </row>
    <row r="22" spans="1:6" x14ac:dyDescent="0.25">
      <c r="A22" s="32" t="s">
        <v>506</v>
      </c>
      <c r="B22" s="53">
        <v>3864.6</v>
      </c>
      <c r="C22" s="53">
        <v>3428.9</v>
      </c>
      <c r="D22" s="53">
        <v>3535.2</v>
      </c>
      <c r="E22" s="53">
        <v>3671.5</v>
      </c>
      <c r="F22" s="53">
        <v>3822.4</v>
      </c>
    </row>
    <row r="23" spans="1:6" s="17" customFormat="1" x14ac:dyDescent="0.25">
      <c r="A23" s="44" t="s">
        <v>507</v>
      </c>
      <c r="B23" s="54">
        <v>5567.8</v>
      </c>
      <c r="C23" s="54">
        <v>5889.1</v>
      </c>
      <c r="D23" s="54">
        <v>6423.8</v>
      </c>
      <c r="E23" s="54">
        <v>6381.5</v>
      </c>
      <c r="F23" s="54">
        <v>6704.4</v>
      </c>
    </row>
    <row r="24" spans="1:1" x14ac:dyDescent="0.25">
      <c r="A24" s="42" t="s">
        <v>508</v>
      </c>
    </row>
    <row r="25" spans="1:1" x14ac:dyDescent="0.25">
      <c r="A25" s="2" t="s">
        <v>509</v>
      </c>
    </row>
    <row r="27" spans="1:1" x14ac:dyDescent="0.25">
      <c r="A27" s="3" t="s">
        <v>510</v>
      </c>
    </row>
    <row r="28" ht="30" customHeight="1" spans="1:8" x14ac:dyDescent="0.25">
      <c r="A28" s="4" t="s">
        <v>379</v>
      </c>
      <c r="B28" s="5" t="s">
        <v>332</v>
      </c>
      <c r="C28" s="5" t="s">
        <v>511</v>
      </c>
      <c r="D28" s="5" t="s">
        <v>512</v>
      </c>
      <c r="E28" s="5" t="s">
        <v>513</v>
      </c>
      <c r="F28" s="5" t="s">
        <v>514</v>
      </c>
      <c r="G28" s="5" t="s">
        <v>515</v>
      </c>
      <c r="H28" s="5" t="s">
        <v>516</v>
      </c>
    </row>
    <row r="29" spans="1:8" x14ac:dyDescent="0.25">
      <c r="A29" s="32" t="s">
        <v>517</v>
      </c>
      <c r="B29" s="55">
        <v>25</v>
      </c>
      <c r="C29" s="56">
        <v>3.9951</v>
      </c>
      <c r="D29" s="57">
        <v>-0.005044</v>
      </c>
      <c r="E29" s="58">
        <v>0.104</v>
      </c>
      <c r="F29" s="55">
        <v>26</v>
      </c>
      <c r="G29" s="41">
        <v>0.03504</v>
      </c>
      <c r="H29" s="41">
        <v>0.03504</v>
      </c>
    </row>
    <row r="30" spans="1:8" x14ac:dyDescent="0.25">
      <c r="A30" s="34" t="s">
        <v>518</v>
      </c>
      <c r="B30" s="59">
        <v>4</v>
      </c>
      <c r="C30" s="60">
        <v>4.0302</v>
      </c>
      <c r="D30" s="61">
        <v>-0.027713</v>
      </c>
      <c r="E30" s="62">
        <v>0.092</v>
      </c>
      <c r="F30" s="59">
        <v>5</v>
      </c>
      <c r="G30" s="63">
        <v>0.035089999999999996</v>
      </c>
      <c r="H30" s="63">
        <v>0.035089999999999996</v>
      </c>
    </row>
    <row r="31" spans="1:8" x14ac:dyDescent="0.25">
      <c r="A31" s="32" t="s">
        <v>519</v>
      </c>
      <c r="B31" s="55">
        <v>89</v>
      </c>
      <c r="C31" s="56">
        <v>5.8812</v>
      </c>
      <c r="D31" s="57">
        <v>-0.006334</v>
      </c>
      <c r="E31" s="58">
        <v>0.623</v>
      </c>
      <c r="F31" s="55">
        <v>90</v>
      </c>
      <c r="G31" s="41">
        <v>0.03326</v>
      </c>
      <c r="H31" s="41">
        <v>0.03326</v>
      </c>
    </row>
    <row r="32" spans="1:8" x14ac:dyDescent="0.25">
      <c r="A32" s="34" t="s">
        <v>520</v>
      </c>
      <c r="B32" s="35" t="s">
        <v>442</v>
      </c>
      <c r="C32" s="60">
        <v>5.8812</v>
      </c>
      <c r="D32" s="62">
        <v>-0.006</v>
      </c>
      <c r="E32" s="35" t="s">
        <v>442</v>
      </c>
      <c r="F32" s="35" t="s">
        <v>442</v>
      </c>
      <c r="G32" s="63">
        <v>0.03427</v>
      </c>
      <c r="H32" s="63">
        <v>0.03427</v>
      </c>
    </row>
    <row r="33" spans="1:8" x14ac:dyDescent="0.25">
      <c r="A33" s="32" t="s">
        <v>521</v>
      </c>
      <c r="B33" s="33" t="s">
        <v>442</v>
      </c>
      <c r="C33" s="33" t="s">
        <v>442</v>
      </c>
      <c r="D33" s="33" t="s">
        <v>442</v>
      </c>
      <c r="E33" s="33" t="s">
        <v>442</v>
      </c>
      <c r="F33" s="33" t="s">
        <v>442</v>
      </c>
      <c r="G33" s="41">
        <v>0.03268</v>
      </c>
      <c r="H33" s="41">
        <v>0.03268</v>
      </c>
    </row>
    <row r="34" spans="1:8" s="17" customFormat="1" x14ac:dyDescent="0.25">
      <c r="A34" s="44" t="s">
        <v>522</v>
      </c>
      <c r="B34" s="47" t="s">
        <v>442</v>
      </c>
      <c r="C34" s="47" t="s">
        <v>442</v>
      </c>
      <c r="D34" s="47" t="s">
        <v>442</v>
      </c>
      <c r="E34" s="47" t="s">
        <v>442</v>
      </c>
      <c r="F34" s="47" t="s">
        <v>442</v>
      </c>
      <c r="G34" s="45">
        <v>0.0351</v>
      </c>
      <c r="H34" s="45">
        <v>0.0351</v>
      </c>
    </row>
    <row r="35" spans="1:1" x14ac:dyDescent="0.25">
      <c r="A35" s="42" t="s">
        <v>523</v>
      </c>
    </row>
    <row r="36" spans="1:1" x14ac:dyDescent="0.25">
      <c r="A36" s="2" t="s">
        <v>524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FormatPr defaultRowHeight="15" outlineLevelRow="0" outlineLevelCol="0" x14ac:dyDescent="55"/>
  <cols>
    <col min="1" max="1" width="44" customWidth="1"/>
    <col min="2" max="4" width="22" customWidth="1"/>
  </cols>
  <sheetData>
    <row r="1" spans="1:1" x14ac:dyDescent="0.25">
      <c r="A1" s="1" t="s">
        <v>525</v>
      </c>
    </row>
    <row r="2" spans="1:1" x14ac:dyDescent="0.25">
      <c r="A2" s="2" t="s">
        <v>352</v>
      </c>
    </row>
    <row r="3" spans="1:1" x14ac:dyDescent="0.25">
      <c r="A3" s="3" t="s">
        <v>526</v>
      </c>
    </row>
    <row r="4" ht="30" customHeight="1" spans="1:3" x14ac:dyDescent="0.25">
      <c r="A4" s="4" t="s">
        <v>100</v>
      </c>
      <c r="B4" s="5" t="s">
        <v>22</v>
      </c>
      <c r="C4" s="5" t="s">
        <v>527</v>
      </c>
    </row>
    <row r="5" spans="1:3" x14ac:dyDescent="0.25">
      <c r="A5" s="32" t="s">
        <v>528</v>
      </c>
      <c r="B5" s="56">
        <v>0.2178</v>
      </c>
      <c r="C5" s="32" t="s">
        <v>529</v>
      </c>
    </row>
    <row r="6" spans="1:3" x14ac:dyDescent="0.25">
      <c r="A6" s="34" t="s">
        <v>530</v>
      </c>
      <c r="B6" s="35" t="s">
        <v>531</v>
      </c>
      <c r="C6" s="35" t="s">
        <v>532</v>
      </c>
    </row>
    <row r="7" spans="1:3" s="17" customFormat="1" x14ac:dyDescent="0.25">
      <c r="A7" s="64" t="s">
        <v>533</v>
      </c>
      <c r="B7" s="65">
        <v>0.1705</v>
      </c>
      <c r="C7" s="64" t="s">
        <v>534</v>
      </c>
    </row>
    <row r="8" spans="1:1" x14ac:dyDescent="0.25">
      <c r="A8" s="42" t="s">
        <v>535</v>
      </c>
    </row>
    <row r="9" spans="1:1" x14ac:dyDescent="0.25">
      <c r="A9" s="2" t="s">
        <v>536</v>
      </c>
    </row>
    <row r="11" spans="1:1" x14ac:dyDescent="0.25">
      <c r="A11" s="3" t="s">
        <v>537</v>
      </c>
    </row>
    <row r="12" ht="30" customHeight="1" spans="1:3" x14ac:dyDescent="0.25">
      <c r="A12" s="4" t="s">
        <v>100</v>
      </c>
      <c r="B12" s="5" t="s">
        <v>22</v>
      </c>
      <c r="C12" s="5" t="s">
        <v>527</v>
      </c>
    </row>
    <row r="13" spans="1:3" x14ac:dyDescent="0.25">
      <c r="A13" s="32" t="s">
        <v>538</v>
      </c>
      <c r="B13" s="33" t="s">
        <v>539</v>
      </c>
      <c r="C13" s="33" t="s">
        <v>540</v>
      </c>
    </row>
    <row r="14" spans="1:3" x14ac:dyDescent="0.25">
      <c r="A14" s="34" t="s">
        <v>541</v>
      </c>
      <c r="B14" s="66">
        <v>0.87</v>
      </c>
      <c r="C14" s="34" t="s">
        <v>542</v>
      </c>
    </row>
    <row r="15" spans="1:3" x14ac:dyDescent="0.25">
      <c r="A15" s="32" t="s">
        <v>58</v>
      </c>
      <c r="B15" s="40">
        <v>0.65</v>
      </c>
      <c r="C15" s="32" t="s">
        <v>543</v>
      </c>
    </row>
    <row r="16" spans="1:3" s="17" customFormat="1" x14ac:dyDescent="0.25">
      <c r="A16" s="44" t="s">
        <v>544</v>
      </c>
      <c r="B16" s="67">
        <v>0.69</v>
      </c>
      <c r="C16" s="44" t="s">
        <v>545</v>
      </c>
    </row>
    <row r="17" spans="1:3" x14ac:dyDescent="0.25">
      <c r="A17" s="32" t="s">
        <v>546</v>
      </c>
      <c r="B17" s="40">
        <v>0.8</v>
      </c>
      <c r="C17" s="33" t="s">
        <v>547</v>
      </c>
    </row>
    <row r="18" spans="1:1" x14ac:dyDescent="0.25">
      <c r="A18" s="42" t="s">
        <v>548</v>
      </c>
    </row>
    <row r="19" spans="1:1" x14ac:dyDescent="0.25">
      <c r="A19" s="2" t="s">
        <v>549</v>
      </c>
    </row>
    <row r="21" spans="1:1" x14ac:dyDescent="0.25">
      <c r="A21" s="3" t="s">
        <v>550</v>
      </c>
    </row>
    <row r="22" ht="30" customHeight="1" spans="1:3" x14ac:dyDescent="0.25">
      <c r="A22" s="4" t="s">
        <v>100</v>
      </c>
      <c r="B22" s="5" t="s">
        <v>551</v>
      </c>
      <c r="C22" s="5" t="s">
        <v>552</v>
      </c>
    </row>
    <row r="23" spans="1:3" x14ac:dyDescent="0.25">
      <c r="A23" s="32" t="s">
        <v>553</v>
      </c>
      <c r="B23" s="40">
        <v>0.17</v>
      </c>
      <c r="C23" s="40">
        <v>0.17</v>
      </c>
    </row>
    <row r="24" spans="1:3" x14ac:dyDescent="0.25">
      <c r="A24" s="34" t="s">
        <v>127</v>
      </c>
      <c r="B24" s="60">
        <v>0.3919</v>
      </c>
      <c r="C24" s="60">
        <v>0.3283</v>
      </c>
    </row>
    <row r="25" spans="1:3" x14ac:dyDescent="0.25">
      <c r="A25" s="32" t="s">
        <v>554</v>
      </c>
      <c r="B25" s="38">
        <v>0.3</v>
      </c>
      <c r="C25" s="38">
        <v>0.3</v>
      </c>
    </row>
    <row r="26" spans="1:3" s="17" customFormat="1" x14ac:dyDescent="0.25">
      <c r="A26" s="44" t="s">
        <v>555</v>
      </c>
      <c r="B26" s="68">
        <v>0.2173</v>
      </c>
      <c r="C26" s="68">
        <v>0.2097</v>
      </c>
    </row>
    <row r="27" spans="1:3" x14ac:dyDescent="0.25">
      <c r="A27" s="32" t="s">
        <v>129</v>
      </c>
      <c r="B27" s="38">
        <v>0.10439999999999999</v>
      </c>
      <c r="C27" s="38">
        <v>0.10400000000000001</v>
      </c>
    </row>
    <row r="28" spans="1:3" s="17" customFormat="1" x14ac:dyDescent="0.25">
      <c r="A28" s="44" t="s">
        <v>117</v>
      </c>
      <c r="B28" s="45">
        <v>0.10060000000000001</v>
      </c>
      <c r="C28" s="45">
        <v>0.0956</v>
      </c>
    </row>
    <row r="29" spans="1:1" x14ac:dyDescent="0.25">
      <c r="A29" s="42" t="s">
        <v>556</v>
      </c>
    </row>
    <row r="30" spans="1:1" x14ac:dyDescent="0.25">
      <c r="A30" s="2" t="s">
        <v>557</v>
      </c>
    </row>
    <row r="32" spans="1:1" x14ac:dyDescent="0.25">
      <c r="A32" s="3" t="s">
        <v>558</v>
      </c>
    </row>
    <row r="33" ht="30" customHeight="1" spans="1:4" x14ac:dyDescent="0.25">
      <c r="A33" s="4" t="s">
        <v>100</v>
      </c>
      <c r="B33" s="5" t="s">
        <v>559</v>
      </c>
      <c r="C33" s="5" t="s">
        <v>560</v>
      </c>
      <c r="D33" s="5" t="s">
        <v>561</v>
      </c>
    </row>
    <row r="34" spans="1:4" x14ac:dyDescent="0.25">
      <c r="A34" s="32" t="s">
        <v>562</v>
      </c>
      <c r="B34" s="56">
        <v>0.9071</v>
      </c>
      <c r="C34" s="56">
        <v>0.2097</v>
      </c>
      <c r="D34" s="56">
        <v>-0.6974</v>
      </c>
    </row>
    <row r="35" spans="1:4" x14ac:dyDescent="0.25">
      <c r="A35" s="34" t="s">
        <v>129</v>
      </c>
      <c r="B35" s="37">
        <v>0.1335</v>
      </c>
      <c r="C35" s="37">
        <v>0.10400000000000001</v>
      </c>
      <c r="D35" s="35" t="s">
        <v>563</v>
      </c>
    </row>
    <row r="36" spans="1:4" x14ac:dyDescent="0.25">
      <c r="A36" s="32" t="s">
        <v>117</v>
      </c>
      <c r="B36" s="38">
        <v>0.11380000000000001</v>
      </c>
      <c r="C36" s="38">
        <v>0.0956</v>
      </c>
      <c r="D36" s="33" t="s">
        <v>564</v>
      </c>
    </row>
    <row r="37" spans="1:4" x14ac:dyDescent="0.25">
      <c r="A37" s="34" t="s">
        <v>565</v>
      </c>
      <c r="B37" s="69">
        <v>67198.4</v>
      </c>
      <c r="C37" s="69">
        <v>79382.7</v>
      </c>
      <c r="D37" s="69">
        <v>12184.3</v>
      </c>
    </row>
    <row r="38" spans="1:4" x14ac:dyDescent="0.25">
      <c r="A38" s="32" t="s">
        <v>566</v>
      </c>
      <c r="B38" s="53">
        <v>56910.4</v>
      </c>
      <c r="C38" s="53">
        <v>69012.1</v>
      </c>
      <c r="D38" s="53">
        <v>12101.7</v>
      </c>
    </row>
    <row r="39" spans="1:4" s="17" customFormat="1" x14ac:dyDescent="0.25">
      <c r="A39" s="44" t="s">
        <v>482</v>
      </c>
      <c r="B39" s="46">
        <v>31.62</v>
      </c>
      <c r="C39" s="46">
        <v>38.34</v>
      </c>
      <c r="D39" s="46">
        <v>6.72</v>
      </c>
    </row>
    <row r="40" spans="1:1" x14ac:dyDescent="0.25">
      <c r="A40" s="42" t="s">
        <v>567</v>
      </c>
    </row>
    <row r="41" spans="1:1" x14ac:dyDescent="0.25">
      <c r="A41" s="2" t="s">
        <v>568</v>
      </c>
    </row>
    <row r="43" spans="1:1" x14ac:dyDescent="0.25">
      <c r="A43" s="3" t="s">
        <v>569</v>
      </c>
    </row>
    <row r="44" ht="30" customHeight="1" spans="1:3" x14ac:dyDescent="0.25">
      <c r="A44" s="4" t="s">
        <v>100</v>
      </c>
      <c r="B44" s="5" t="s">
        <v>22</v>
      </c>
      <c r="C44" s="5" t="s">
        <v>527</v>
      </c>
    </row>
    <row r="45" spans="1:3" s="17" customFormat="1" x14ac:dyDescent="0.25">
      <c r="A45" s="64" t="s">
        <v>401</v>
      </c>
      <c r="B45" s="70">
        <v>0.1</v>
      </c>
      <c r="C45" s="64" t="s">
        <v>570</v>
      </c>
    </row>
    <row r="46" spans="1:3" x14ac:dyDescent="0.25">
      <c r="A46" s="34" t="s">
        <v>571</v>
      </c>
      <c r="B46" s="37">
        <v>0.0986</v>
      </c>
      <c r="C46" s="34" t="s">
        <v>572</v>
      </c>
    </row>
    <row r="47" spans="1:3" x14ac:dyDescent="0.25">
      <c r="A47" s="32" t="s">
        <v>573</v>
      </c>
      <c r="B47" s="38">
        <v>0.13019999999999998</v>
      </c>
      <c r="C47" s="32" t="s">
        <v>574</v>
      </c>
    </row>
    <row r="48" spans="1:1" x14ac:dyDescent="0.25">
      <c r="A48" s="42" t="s">
        <v>575</v>
      </c>
    </row>
    <row r="49" spans="1:1" x14ac:dyDescent="0.25">
      <c r="A49" s="2" t="s">
        <v>576</v>
      </c>
    </row>
    <row r="51" spans="1:1" x14ac:dyDescent="0.25">
      <c r="A51" s="3" t="s">
        <v>577</v>
      </c>
    </row>
    <row r="52" ht="30" customHeight="1" spans="1:3" x14ac:dyDescent="0.25">
      <c r="A52" s="4" t="s">
        <v>100</v>
      </c>
      <c r="B52" s="5" t="s">
        <v>22</v>
      </c>
      <c r="C52" s="5" t="s">
        <v>527</v>
      </c>
    </row>
    <row r="53" spans="1:3" x14ac:dyDescent="0.25">
      <c r="A53" s="32" t="s">
        <v>578</v>
      </c>
      <c r="B53" s="56">
        <v>0.0415</v>
      </c>
      <c r="C53" s="32" t="s">
        <v>579</v>
      </c>
    </row>
    <row r="54" spans="1:3" x14ac:dyDescent="0.25">
      <c r="A54" s="34" t="s">
        <v>580</v>
      </c>
      <c r="B54" s="60">
        <v>0.4146</v>
      </c>
      <c r="C54" s="34" t="s">
        <v>581</v>
      </c>
    </row>
    <row r="55" spans="1:1" x14ac:dyDescent="0.25">
      <c r="A55" s="42" t="s">
        <v>582</v>
      </c>
    </row>
    <row r="56" spans="1:1" x14ac:dyDescent="0.25">
      <c r="A56" s="2" t="s">
        <v>583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FormatPr defaultRowHeight="15" outlineLevelRow="0" outlineLevelCol="0" x14ac:dyDescent="55"/>
  <cols>
    <col min="1" max="1" width="44" customWidth="1"/>
    <col min="2" max="7" width="22" customWidth="1"/>
  </cols>
  <sheetData>
    <row r="1" spans="1:1" x14ac:dyDescent="0.25">
      <c r="A1" s="1" t="s">
        <v>584</v>
      </c>
    </row>
    <row r="2" spans="1:1" x14ac:dyDescent="0.25">
      <c r="A2" s="2" t="s">
        <v>352</v>
      </c>
    </row>
    <row r="3" spans="1:1" x14ac:dyDescent="0.25">
      <c r="A3" s="3" t="s">
        <v>585</v>
      </c>
    </row>
    <row r="4" ht="30" customHeight="1" spans="1:3" x14ac:dyDescent="0.25">
      <c r="A4" s="4" t="s">
        <v>586</v>
      </c>
      <c r="B4" s="5" t="s">
        <v>587</v>
      </c>
      <c r="C4" s="5" t="s">
        <v>588</v>
      </c>
    </row>
    <row r="5" spans="1:3" x14ac:dyDescent="0.25">
      <c r="A5" s="32" t="s">
        <v>53</v>
      </c>
      <c r="B5" s="38">
        <v>0.09519999999999999</v>
      </c>
      <c r="C5" s="38">
        <v>0.09519999999999999</v>
      </c>
    </row>
    <row r="6" spans="1:3" x14ac:dyDescent="0.25">
      <c r="A6" s="34" t="s">
        <v>56</v>
      </c>
      <c r="B6" s="37">
        <v>0.042300000000000004</v>
      </c>
      <c r="C6" s="37">
        <v>0.042300000000000004</v>
      </c>
    </row>
    <row r="7" spans="1:3" x14ac:dyDescent="0.25">
      <c r="A7" s="32" t="s">
        <v>58</v>
      </c>
      <c r="B7" s="40">
        <v>0.17</v>
      </c>
      <c r="C7" s="40">
        <v>0.17</v>
      </c>
    </row>
    <row r="8" spans="1:3" x14ac:dyDescent="0.25">
      <c r="A8" s="34" t="s">
        <v>589</v>
      </c>
      <c r="B8" s="69">
        <v>23618</v>
      </c>
      <c r="C8" s="69">
        <v>23618</v>
      </c>
    </row>
    <row r="9" spans="1:3" x14ac:dyDescent="0.25">
      <c r="A9" s="32" t="s">
        <v>590</v>
      </c>
      <c r="B9" s="33" t="s">
        <v>591</v>
      </c>
      <c r="C9" s="33" t="s">
        <v>592</v>
      </c>
    </row>
    <row r="10" spans="1:3" x14ac:dyDescent="0.25">
      <c r="A10" s="34" t="s">
        <v>105</v>
      </c>
      <c r="B10" s="71">
        <v>0.392</v>
      </c>
      <c r="C10" s="71">
        <v>0.328</v>
      </c>
    </row>
    <row r="11" spans="1:3" x14ac:dyDescent="0.25">
      <c r="A11" s="32" t="s">
        <v>593</v>
      </c>
      <c r="B11" s="56">
        <v>0.2173</v>
      </c>
      <c r="C11" s="56">
        <v>0.2097</v>
      </c>
    </row>
    <row r="12" spans="1:3" x14ac:dyDescent="0.25">
      <c r="A12" s="34" t="s">
        <v>109</v>
      </c>
      <c r="B12" s="37">
        <v>0.10439999999999999</v>
      </c>
      <c r="C12" s="37">
        <v>0.10400000000000001</v>
      </c>
    </row>
    <row r="13" spans="1:3" x14ac:dyDescent="0.25">
      <c r="A13" s="32" t="s">
        <v>65</v>
      </c>
      <c r="B13" s="38">
        <v>0.13019999999999998</v>
      </c>
      <c r="C13" s="38">
        <v>0.1</v>
      </c>
    </row>
    <row r="14" spans="1:3" x14ac:dyDescent="0.25">
      <c r="A14" s="34" t="s">
        <v>554</v>
      </c>
      <c r="B14" s="37">
        <v>0.3</v>
      </c>
      <c r="C14" s="37">
        <v>0.3</v>
      </c>
    </row>
    <row r="15" spans="1:3" x14ac:dyDescent="0.25">
      <c r="A15" s="32" t="s">
        <v>111</v>
      </c>
      <c r="B15" s="38">
        <v>0.0911</v>
      </c>
      <c r="C15" s="38">
        <v>0.07</v>
      </c>
    </row>
    <row r="16" spans="1:3" x14ac:dyDescent="0.25">
      <c r="A16" s="34" t="s">
        <v>113</v>
      </c>
      <c r="B16" s="37">
        <v>0.7184</v>
      </c>
      <c r="C16" s="37">
        <v>0.7529</v>
      </c>
    </row>
    <row r="17" spans="1:3" x14ac:dyDescent="0.25">
      <c r="A17" s="32" t="s">
        <v>115</v>
      </c>
      <c r="B17" s="38">
        <v>0.2816</v>
      </c>
      <c r="C17" s="38">
        <v>0.24710000000000001</v>
      </c>
    </row>
    <row r="18" spans="1:3" s="17" customFormat="1" x14ac:dyDescent="0.25">
      <c r="A18" s="44" t="s">
        <v>117</v>
      </c>
      <c r="B18" s="45">
        <v>0.10060000000000001</v>
      </c>
      <c r="C18" s="45">
        <v>0.0956</v>
      </c>
    </row>
    <row r="19" spans="1:1" x14ac:dyDescent="0.25">
      <c r="A19" s="42" t="s">
        <v>594</v>
      </c>
    </row>
    <row r="20" spans="1:1" x14ac:dyDescent="0.25">
      <c r="A20" s="2" t="s">
        <v>595</v>
      </c>
    </row>
    <row r="22" spans="1:1" x14ac:dyDescent="0.25">
      <c r="A22" s="3" t="s">
        <v>596</v>
      </c>
    </row>
    <row r="23" ht="30" customHeight="1" spans="1:7" x14ac:dyDescent="0.25">
      <c r="A23" s="4" t="s">
        <v>124</v>
      </c>
      <c r="B23" s="5" t="s">
        <v>125</v>
      </c>
      <c r="C23" s="5" t="s">
        <v>126</v>
      </c>
      <c r="D23" s="5" t="s">
        <v>105</v>
      </c>
      <c r="E23" s="5" t="s">
        <v>128</v>
      </c>
      <c r="F23" s="5" t="s">
        <v>129</v>
      </c>
      <c r="G23" s="5" t="s">
        <v>130</v>
      </c>
    </row>
    <row r="24" spans="1:7" x14ac:dyDescent="0.25">
      <c r="A24" s="32" t="s">
        <v>597</v>
      </c>
      <c r="B24" s="38">
        <v>0.10060000000000001</v>
      </c>
      <c r="C24" s="53">
        <v>65552.8</v>
      </c>
      <c r="D24" s="56">
        <v>0.3603</v>
      </c>
      <c r="E24" s="56">
        <v>0.2135</v>
      </c>
      <c r="F24" s="38">
        <v>0.1042</v>
      </c>
      <c r="G24" s="38">
        <v>0.0951</v>
      </c>
    </row>
    <row r="25" spans="1:7" x14ac:dyDescent="0.25">
      <c r="A25" s="34" t="s">
        <v>598</v>
      </c>
      <c r="B25" s="37">
        <v>0.0951</v>
      </c>
      <c r="C25" s="69">
        <v>72623.6</v>
      </c>
      <c r="D25" s="60">
        <v>0.3252</v>
      </c>
      <c r="E25" s="60">
        <v>0.2093</v>
      </c>
      <c r="F25" s="37">
        <v>0.10400000000000001</v>
      </c>
      <c r="G25" s="37">
        <v>0.09570000000000001</v>
      </c>
    </row>
    <row r="26" spans="1:7" x14ac:dyDescent="0.25">
      <c r="A26" s="32" t="s">
        <v>599</v>
      </c>
      <c r="B26" s="38">
        <v>0.09570000000000001</v>
      </c>
      <c r="C26" s="53">
        <v>71882.5</v>
      </c>
      <c r="D26" s="56">
        <v>0.3286</v>
      </c>
      <c r="E26" s="56">
        <v>0.2097</v>
      </c>
      <c r="F26" s="38">
        <v>0.10400000000000001</v>
      </c>
      <c r="G26" s="38">
        <v>0.0956</v>
      </c>
    </row>
    <row r="27" spans="1:7" x14ac:dyDescent="0.25">
      <c r="A27" s="34" t="s">
        <v>600</v>
      </c>
      <c r="B27" s="37">
        <v>0.0956</v>
      </c>
      <c r="C27" s="69">
        <v>71954.4</v>
      </c>
      <c r="D27" s="60">
        <v>0.3282</v>
      </c>
      <c r="E27" s="60">
        <v>0.2097</v>
      </c>
      <c r="F27" s="37">
        <v>0.10400000000000001</v>
      </c>
      <c r="G27" s="37">
        <v>0.0956</v>
      </c>
    </row>
    <row r="28" spans="1:7" x14ac:dyDescent="0.25">
      <c r="A28" s="32" t="s">
        <v>601</v>
      </c>
      <c r="B28" s="38">
        <v>0.0956</v>
      </c>
      <c r="C28" s="53">
        <v>71947.4</v>
      </c>
      <c r="D28" s="56">
        <v>0.3283</v>
      </c>
      <c r="E28" s="56">
        <v>0.2097</v>
      </c>
      <c r="F28" s="38">
        <v>0.10400000000000001</v>
      </c>
      <c r="G28" s="38">
        <v>0.0956</v>
      </c>
    </row>
    <row r="29" spans="1:7" x14ac:dyDescent="0.25">
      <c r="A29" s="34" t="s">
        <v>602</v>
      </c>
      <c r="B29" s="37">
        <v>0.0956</v>
      </c>
      <c r="C29" s="69">
        <v>71948.1</v>
      </c>
      <c r="D29" s="60">
        <v>0.3283</v>
      </c>
      <c r="E29" s="60">
        <v>0.2097</v>
      </c>
      <c r="F29" s="37">
        <v>0.10400000000000001</v>
      </c>
      <c r="G29" s="37">
        <v>0.0956</v>
      </c>
    </row>
    <row r="30" spans="1:1" x14ac:dyDescent="0.25">
      <c r="A30" s="42" t="s">
        <v>603</v>
      </c>
    </row>
    <row r="31" spans="1:1" x14ac:dyDescent="0.25">
      <c r="A31" s="2" t="s">
        <v>604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3"/>
  <sheetFormatPr defaultRowHeight="15" outlineLevelRow="0" outlineLevelCol="0" x14ac:dyDescent="55"/>
  <cols>
    <col min="1" max="1" width="44" customWidth="1"/>
    <col min="2" max="13" width="14" customWidth="1"/>
  </cols>
  <sheetData>
    <row r="1" spans="1:1" x14ac:dyDescent="0.25">
      <c r="A1" s="1" t="s">
        <v>605</v>
      </c>
    </row>
    <row r="2" spans="1:1" x14ac:dyDescent="0.25">
      <c r="A2" s="2" t="s">
        <v>352</v>
      </c>
    </row>
    <row r="3" spans="1:1" x14ac:dyDescent="0.25">
      <c r="A3" s="3" t="s">
        <v>606</v>
      </c>
    </row>
    <row r="4" ht="30" customHeight="1" spans="1:7" x14ac:dyDescent="0.25">
      <c r="A4" s="4" t="s">
        <v>100</v>
      </c>
      <c r="B4" s="5" t="s">
        <v>607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</row>
    <row r="5" spans="1:7" s="17" customFormat="1" x14ac:dyDescent="0.25">
      <c r="A5" s="64" t="s">
        <v>608</v>
      </c>
      <c r="B5" s="72" t="s">
        <v>442</v>
      </c>
      <c r="C5" s="72" t="s">
        <v>442</v>
      </c>
      <c r="D5" s="72" t="s">
        <v>442</v>
      </c>
      <c r="E5" s="72" t="s">
        <v>442</v>
      </c>
      <c r="F5" s="72" t="s">
        <v>442</v>
      </c>
      <c r="G5" s="72" t="s">
        <v>442</v>
      </c>
    </row>
    <row r="6" spans="1:7" s="17" customFormat="1" x14ac:dyDescent="0.25">
      <c r="A6" s="44" t="s">
        <v>138</v>
      </c>
      <c r="B6" s="47" t="s">
        <v>386</v>
      </c>
      <c r="C6" s="54">
        <v>169070.4</v>
      </c>
      <c r="D6" s="54">
        <v>171572.6</v>
      </c>
      <c r="E6" s="54">
        <v>177530.5</v>
      </c>
      <c r="F6" s="54">
        <v>185040</v>
      </c>
      <c r="G6" s="54">
        <v>193343.7</v>
      </c>
    </row>
    <row r="7" spans="1:7" x14ac:dyDescent="0.25">
      <c r="A7" s="32" t="s">
        <v>609</v>
      </c>
      <c r="B7" s="33" t="s">
        <v>386</v>
      </c>
      <c r="C7" s="73">
        <v>-127817.2</v>
      </c>
      <c r="D7" s="73">
        <v>-129880.5</v>
      </c>
      <c r="E7" s="73">
        <v>-134568.1</v>
      </c>
      <c r="F7" s="73">
        <v>-140260.3</v>
      </c>
      <c r="G7" s="73">
        <v>-146554.5</v>
      </c>
    </row>
    <row r="8" spans="1:7" x14ac:dyDescent="0.25">
      <c r="A8" s="34" t="s">
        <v>610</v>
      </c>
      <c r="B8" s="35" t="s">
        <v>386</v>
      </c>
      <c r="C8" s="69">
        <v>41253.2</v>
      </c>
      <c r="D8" s="69">
        <v>41692.1</v>
      </c>
      <c r="E8" s="69">
        <v>42962.4</v>
      </c>
      <c r="F8" s="69">
        <v>44779.7</v>
      </c>
      <c r="G8" s="69">
        <v>46789.2</v>
      </c>
    </row>
    <row r="9" spans="1:7" x14ac:dyDescent="0.25">
      <c r="A9" s="32" t="s">
        <v>611</v>
      </c>
      <c r="B9" s="33" t="s">
        <v>386</v>
      </c>
      <c r="C9" s="73">
        <v>-29698.5</v>
      </c>
      <c r="D9" s="73">
        <v>-30002.5</v>
      </c>
      <c r="E9" s="73">
        <v>-30833.7</v>
      </c>
      <c r="F9" s="73">
        <v>-32097.8</v>
      </c>
      <c r="G9" s="73">
        <v>-33490.5</v>
      </c>
    </row>
    <row r="10" spans="1:7" x14ac:dyDescent="0.25">
      <c r="A10" s="34" t="s">
        <v>150</v>
      </c>
      <c r="B10" s="35" t="s">
        <v>386</v>
      </c>
      <c r="C10" s="69">
        <v>11554.6</v>
      </c>
      <c r="D10" s="69">
        <v>11689.6</v>
      </c>
      <c r="E10" s="69">
        <v>12128.7</v>
      </c>
      <c r="F10" s="69">
        <v>12681.8</v>
      </c>
      <c r="G10" s="69">
        <v>13298.7</v>
      </c>
    </row>
    <row r="11" spans="1:7" x14ac:dyDescent="0.25">
      <c r="A11" s="32" t="s">
        <v>612</v>
      </c>
      <c r="B11" s="33" t="s">
        <v>386</v>
      </c>
      <c r="C11" s="73">
        <v>-4130.1</v>
      </c>
      <c r="D11" s="73">
        <v>-4191.3</v>
      </c>
      <c r="E11" s="73">
        <v>-4337.7</v>
      </c>
      <c r="F11" s="73">
        <v>-4522.2</v>
      </c>
      <c r="G11" s="73">
        <v>-4726.1</v>
      </c>
    </row>
    <row r="12" spans="1:7" s="17" customFormat="1" x14ac:dyDescent="0.25">
      <c r="A12" s="44" t="s">
        <v>139</v>
      </c>
      <c r="B12" s="47" t="s">
        <v>386</v>
      </c>
      <c r="C12" s="54">
        <v>7424.5</v>
      </c>
      <c r="D12" s="54">
        <v>7498.3</v>
      </c>
      <c r="E12" s="54">
        <v>7790.9</v>
      </c>
      <c r="F12" s="54">
        <v>8159.6</v>
      </c>
      <c r="G12" s="54">
        <v>8572.5</v>
      </c>
    </row>
    <row r="13" spans="1:7" x14ac:dyDescent="0.25">
      <c r="A13" s="32" t="s">
        <v>613</v>
      </c>
      <c r="B13" s="33" t="s">
        <v>386</v>
      </c>
      <c r="C13" s="73">
        <v>-2361.8</v>
      </c>
      <c r="D13" s="73">
        <v>-2302.8</v>
      </c>
      <c r="E13" s="73">
        <v>-2156.5</v>
      </c>
      <c r="F13" s="73">
        <v>-2010.3</v>
      </c>
      <c r="G13" s="73">
        <v>-1864</v>
      </c>
    </row>
    <row r="14" spans="1:7" x14ac:dyDescent="0.25">
      <c r="A14" s="34" t="s">
        <v>614</v>
      </c>
      <c r="B14" s="35" t="s">
        <v>386</v>
      </c>
      <c r="C14" s="69">
        <v>5062.7</v>
      </c>
      <c r="D14" s="69">
        <v>5195.6</v>
      </c>
      <c r="E14" s="69">
        <v>5634.4</v>
      </c>
      <c r="F14" s="69">
        <v>6149.4</v>
      </c>
      <c r="G14" s="69">
        <v>6708.5</v>
      </c>
    </row>
    <row r="15" spans="1:7" x14ac:dyDescent="0.25">
      <c r="A15" s="32" t="s">
        <v>615</v>
      </c>
      <c r="B15" s="33" t="s">
        <v>386</v>
      </c>
      <c r="C15" s="73">
        <v>-1519.8</v>
      </c>
      <c r="D15" s="73">
        <v>-1577.9</v>
      </c>
      <c r="E15" s="73">
        <v>-1712.4</v>
      </c>
      <c r="F15" s="73">
        <v>-1870.2</v>
      </c>
      <c r="G15" s="73">
        <v>-2041.7</v>
      </c>
    </row>
    <row r="16" spans="1:7" s="17" customFormat="1" x14ac:dyDescent="0.25">
      <c r="A16" s="44" t="s">
        <v>616</v>
      </c>
      <c r="B16" s="47" t="s">
        <v>386</v>
      </c>
      <c r="C16" s="54">
        <v>3542.9</v>
      </c>
      <c r="D16" s="54">
        <v>3617.7</v>
      </c>
      <c r="E16" s="54">
        <v>3922</v>
      </c>
      <c r="F16" s="54">
        <v>4279.2</v>
      </c>
      <c r="G16" s="54">
        <v>4666.8</v>
      </c>
    </row>
    <row r="17" spans="1:7" x14ac:dyDescent="0.25">
      <c r="A17" s="32" t="s">
        <v>617</v>
      </c>
      <c r="B17" s="33" t="s">
        <v>386</v>
      </c>
      <c r="C17" s="73">
        <v>-1063.4</v>
      </c>
      <c r="D17" s="73">
        <v>-1085.8</v>
      </c>
      <c r="E17" s="73">
        <v>-1177.2</v>
      </c>
      <c r="F17" s="73">
        <v>-1284.4</v>
      </c>
      <c r="G17" s="73">
        <v>-1400.7</v>
      </c>
    </row>
    <row r="18" spans="1:7" s="17" customFormat="1" x14ac:dyDescent="0.25">
      <c r="A18" s="44" t="s">
        <v>618</v>
      </c>
      <c r="B18" s="47" t="s">
        <v>442</v>
      </c>
      <c r="C18" s="47" t="s">
        <v>442</v>
      </c>
      <c r="D18" s="47" t="s">
        <v>442</v>
      </c>
      <c r="E18" s="47" t="s">
        <v>442</v>
      </c>
      <c r="F18" s="47" t="s">
        <v>442</v>
      </c>
      <c r="G18" s="47" t="s">
        <v>442</v>
      </c>
    </row>
    <row r="19" spans="1:7" x14ac:dyDescent="0.25">
      <c r="A19" s="32" t="s">
        <v>619</v>
      </c>
      <c r="B19" s="33" t="s">
        <v>386</v>
      </c>
      <c r="C19" s="53">
        <v>12146.7</v>
      </c>
      <c r="D19" s="53">
        <v>13846.5</v>
      </c>
      <c r="E19" s="53">
        <v>16092</v>
      </c>
      <c r="F19" s="53">
        <v>18290.3</v>
      </c>
      <c r="G19" s="53">
        <v>20797.3</v>
      </c>
    </row>
    <row r="20" spans="1:7" x14ac:dyDescent="0.25">
      <c r="A20" s="34" t="s">
        <v>620</v>
      </c>
      <c r="B20" s="35" t="s">
        <v>386</v>
      </c>
      <c r="C20" s="69">
        <v>30816.2</v>
      </c>
      <c r="D20" s="69">
        <v>31313.6</v>
      </c>
      <c r="E20" s="69">
        <v>32075.1</v>
      </c>
      <c r="F20" s="69">
        <v>33431.9</v>
      </c>
      <c r="G20" s="69">
        <v>34932.2</v>
      </c>
    </row>
    <row r="21" spans="1:7" x14ac:dyDescent="0.25">
      <c r="A21" s="32" t="s">
        <v>621</v>
      </c>
      <c r="B21" s="33" t="s">
        <v>386</v>
      </c>
      <c r="C21" s="53">
        <v>6620.3</v>
      </c>
      <c r="D21" s="53">
        <v>6718.3</v>
      </c>
      <c r="E21" s="53">
        <v>6951.6</v>
      </c>
      <c r="F21" s="53">
        <v>7245.7</v>
      </c>
      <c r="G21" s="53">
        <v>7570.8</v>
      </c>
    </row>
    <row r="22" spans="1:7" x14ac:dyDescent="0.25">
      <c r="A22" s="34" t="s">
        <v>622</v>
      </c>
      <c r="B22" s="35" t="s">
        <v>386</v>
      </c>
      <c r="C22" s="69">
        <v>107243.5</v>
      </c>
      <c r="D22" s="69">
        <v>106481.1</v>
      </c>
      <c r="E22" s="69">
        <v>105678.5</v>
      </c>
      <c r="F22" s="69">
        <v>104827.8</v>
      </c>
      <c r="G22" s="69">
        <v>103924</v>
      </c>
    </row>
    <row r="23" spans="1:7" s="17" customFormat="1" x14ac:dyDescent="0.25">
      <c r="A23" s="64" t="s">
        <v>623</v>
      </c>
      <c r="B23" s="72" t="s">
        <v>386</v>
      </c>
      <c r="C23" s="74">
        <v>156826.7</v>
      </c>
      <c r="D23" s="74">
        <v>158359.5</v>
      </c>
      <c r="E23" s="74">
        <v>160797.3</v>
      </c>
      <c r="F23" s="74">
        <v>163795.7</v>
      </c>
      <c r="G23" s="74">
        <v>167224.4</v>
      </c>
    </row>
    <row r="24" spans="1:7" x14ac:dyDescent="0.25">
      <c r="A24" s="34" t="s">
        <v>624</v>
      </c>
      <c r="B24" s="35" t="s">
        <v>386</v>
      </c>
      <c r="C24" s="69">
        <v>33852.2</v>
      </c>
      <c r="D24" s="69">
        <v>34353.2</v>
      </c>
      <c r="E24" s="69">
        <v>35546.1</v>
      </c>
      <c r="F24" s="69">
        <v>37049.7</v>
      </c>
      <c r="G24" s="69">
        <v>38712.3</v>
      </c>
    </row>
    <row r="25" spans="1:7" x14ac:dyDescent="0.25">
      <c r="A25" s="32" t="s">
        <v>625</v>
      </c>
      <c r="B25" s="33" t="s">
        <v>386</v>
      </c>
      <c r="C25" s="53">
        <v>11500</v>
      </c>
      <c r="D25" s="53">
        <v>10000</v>
      </c>
      <c r="E25" s="53">
        <v>8500</v>
      </c>
      <c r="F25" s="53">
        <v>7000</v>
      </c>
      <c r="G25" s="53">
        <v>5500</v>
      </c>
    </row>
    <row r="26" spans="1:7" x14ac:dyDescent="0.25">
      <c r="A26" s="34" t="s">
        <v>626</v>
      </c>
      <c r="B26" s="35" t="s">
        <v>386</v>
      </c>
      <c r="C26" s="69">
        <v>12118</v>
      </c>
      <c r="D26" s="69">
        <v>12118</v>
      </c>
      <c r="E26" s="69">
        <v>12118</v>
      </c>
      <c r="F26" s="69">
        <v>12118</v>
      </c>
      <c r="G26" s="69">
        <v>12118</v>
      </c>
    </row>
    <row r="27" spans="1:7" x14ac:dyDescent="0.25">
      <c r="A27" s="32" t="s">
        <v>627</v>
      </c>
      <c r="B27" s="33" t="s">
        <v>386</v>
      </c>
      <c r="C27" s="53">
        <v>12145</v>
      </c>
      <c r="D27" s="53">
        <v>12145</v>
      </c>
      <c r="E27" s="53">
        <v>12145</v>
      </c>
      <c r="F27" s="53">
        <v>12145</v>
      </c>
      <c r="G27" s="53">
        <v>12145</v>
      </c>
    </row>
    <row r="28" spans="1:7" s="17" customFormat="1" x14ac:dyDescent="0.25">
      <c r="A28" s="44" t="s">
        <v>628</v>
      </c>
      <c r="B28" s="47" t="s">
        <v>386</v>
      </c>
      <c r="C28" s="54">
        <v>69615.2</v>
      </c>
      <c r="D28" s="54">
        <v>68616.2</v>
      </c>
      <c r="E28" s="54">
        <v>68309.1</v>
      </c>
      <c r="F28" s="54">
        <v>68312.7</v>
      </c>
      <c r="G28" s="54">
        <v>68475.3</v>
      </c>
    </row>
    <row r="29" spans="1:7" x14ac:dyDescent="0.25">
      <c r="A29" s="32" t="s">
        <v>629</v>
      </c>
      <c r="B29" s="33" t="s">
        <v>386</v>
      </c>
      <c r="C29" s="53">
        <v>87211.5</v>
      </c>
      <c r="D29" s="53">
        <v>89743.3</v>
      </c>
      <c r="E29" s="53">
        <v>92488.2</v>
      </c>
      <c r="F29" s="53">
        <v>95483</v>
      </c>
      <c r="G29" s="53">
        <v>98749.1</v>
      </c>
    </row>
    <row r="30" spans="1:7" x14ac:dyDescent="0.25">
      <c r="A30" s="34" t="s">
        <v>630</v>
      </c>
      <c r="B30" s="35" t="s">
        <v>386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</row>
    <row r="31" spans="1:1" x14ac:dyDescent="0.25">
      <c r="A31" s="42" t="s">
        <v>631</v>
      </c>
    </row>
    <row r="32" spans="1:1" x14ac:dyDescent="0.25">
      <c r="A32" s="2" t="s">
        <v>632</v>
      </c>
    </row>
    <row r="34" spans="1:1" x14ac:dyDescent="0.25">
      <c r="A34" s="3" t="s">
        <v>633</v>
      </c>
    </row>
    <row r="35" ht="30" customHeight="1" spans="1:6" x14ac:dyDescent="0.25">
      <c r="A35" s="4" t="s">
        <v>100</v>
      </c>
      <c r="B35" s="5" t="s">
        <v>133</v>
      </c>
      <c r="C35" s="5" t="s">
        <v>134</v>
      </c>
      <c r="D35" s="5" t="s">
        <v>135</v>
      </c>
      <c r="E35" s="5" t="s">
        <v>136</v>
      </c>
      <c r="F35" s="5" t="s">
        <v>137</v>
      </c>
    </row>
    <row r="36" spans="1:6" x14ac:dyDescent="0.25">
      <c r="A36" s="32" t="s">
        <v>503</v>
      </c>
      <c r="B36" s="38">
        <v>0.7</v>
      </c>
      <c r="C36" s="38">
        <v>0.7</v>
      </c>
      <c r="D36" s="38">
        <v>0.75</v>
      </c>
      <c r="E36" s="38">
        <v>0.8</v>
      </c>
      <c r="F36" s="38">
        <v>0.85</v>
      </c>
    </row>
    <row r="37" spans="1:6" x14ac:dyDescent="0.25">
      <c r="A37" s="34" t="s">
        <v>634</v>
      </c>
      <c r="B37" s="37">
        <v>0.3</v>
      </c>
      <c r="C37" s="37">
        <v>0.3</v>
      </c>
      <c r="D37" s="37">
        <v>0.25</v>
      </c>
      <c r="E37" s="37">
        <v>0.2</v>
      </c>
      <c r="F37" s="37">
        <v>0.15</v>
      </c>
    </row>
    <row r="38" spans="1:6" s="17" customFormat="1" x14ac:dyDescent="0.25">
      <c r="A38" s="64" t="s">
        <v>635</v>
      </c>
      <c r="B38" s="72" t="s">
        <v>442</v>
      </c>
      <c r="C38" s="72" t="s">
        <v>442</v>
      </c>
      <c r="D38" s="72" t="s">
        <v>442</v>
      </c>
      <c r="E38" s="72" t="s">
        <v>442</v>
      </c>
      <c r="F38" s="72" t="s">
        <v>442</v>
      </c>
    </row>
    <row r="39" spans="1:6" x14ac:dyDescent="0.25">
      <c r="A39" s="34" t="s">
        <v>636</v>
      </c>
      <c r="B39" s="50">
        <v>-0.038900000000000004</v>
      </c>
      <c r="C39" s="37">
        <v>0.0060999999999999995</v>
      </c>
      <c r="D39" s="37">
        <v>0.0346</v>
      </c>
      <c r="E39" s="37">
        <v>0.0441</v>
      </c>
      <c r="F39" s="37">
        <v>0.0466</v>
      </c>
    </row>
    <row r="40" spans="1:6" x14ac:dyDescent="0.25">
      <c r="A40" s="32" t="s">
        <v>637</v>
      </c>
      <c r="B40" s="49">
        <v>-0.0678</v>
      </c>
      <c r="C40" s="38">
        <v>0.0351</v>
      </c>
      <c r="D40" s="38">
        <v>0.0351</v>
      </c>
      <c r="E40" s="38">
        <v>0.0351</v>
      </c>
      <c r="F40" s="38">
        <v>0.0351</v>
      </c>
    </row>
    <row r="41" spans="1:6" s="17" customFormat="1" x14ac:dyDescent="0.25">
      <c r="A41" s="44" t="s">
        <v>638</v>
      </c>
      <c r="B41" s="52">
        <v>-0.047599999999999996</v>
      </c>
      <c r="C41" s="45">
        <v>0.0148</v>
      </c>
      <c r="D41" s="45">
        <v>0.0347</v>
      </c>
      <c r="E41" s="45">
        <v>0.042300000000000004</v>
      </c>
      <c r="F41" s="45">
        <v>0.0449</v>
      </c>
    </row>
    <row r="42" spans="1:6" s="17" customFormat="1" x14ac:dyDescent="0.25">
      <c r="A42" s="64" t="s">
        <v>639</v>
      </c>
      <c r="B42" s="72" t="s">
        <v>442</v>
      </c>
      <c r="C42" s="72" t="s">
        <v>442</v>
      </c>
      <c r="D42" s="72" t="s">
        <v>442</v>
      </c>
      <c r="E42" s="72" t="s">
        <v>442</v>
      </c>
      <c r="F42" s="72" t="s">
        <v>442</v>
      </c>
    </row>
    <row r="43" spans="1:6" x14ac:dyDescent="0.25">
      <c r="A43" s="34" t="s">
        <v>636</v>
      </c>
      <c r="B43" s="37">
        <v>0.0437</v>
      </c>
      <c r="C43" s="37">
        <v>0.0434</v>
      </c>
      <c r="D43" s="37">
        <v>0.0437</v>
      </c>
      <c r="E43" s="37">
        <v>0.044000000000000004</v>
      </c>
      <c r="F43" s="37">
        <v>0.0443</v>
      </c>
    </row>
    <row r="44" spans="1:6" x14ac:dyDescent="0.25">
      <c r="A44" s="32" t="s">
        <v>637</v>
      </c>
      <c r="B44" s="38">
        <v>0.0443</v>
      </c>
      <c r="C44" s="38">
        <v>0.0443</v>
      </c>
      <c r="D44" s="38">
        <v>0.0443</v>
      </c>
      <c r="E44" s="38">
        <v>0.0443</v>
      </c>
      <c r="F44" s="38">
        <v>0.0443</v>
      </c>
    </row>
    <row r="45" spans="1:6" s="17" customFormat="1" x14ac:dyDescent="0.25">
      <c r="A45" s="44" t="s">
        <v>638</v>
      </c>
      <c r="B45" s="45">
        <v>0.043899999999999995</v>
      </c>
      <c r="C45" s="45">
        <v>0.0437</v>
      </c>
      <c r="D45" s="45">
        <v>0.043899999999999995</v>
      </c>
      <c r="E45" s="45">
        <v>0.0441</v>
      </c>
      <c r="F45" s="45">
        <v>0.0443</v>
      </c>
    </row>
    <row r="46" spans="1:6" s="17" customFormat="1" x14ac:dyDescent="0.25">
      <c r="A46" s="64" t="s">
        <v>640</v>
      </c>
      <c r="B46" s="72" t="s">
        <v>442</v>
      </c>
      <c r="C46" s="72" t="s">
        <v>442</v>
      </c>
      <c r="D46" s="72" t="s">
        <v>442</v>
      </c>
      <c r="E46" s="72" t="s">
        <v>442</v>
      </c>
      <c r="F46" s="72" t="s">
        <v>442</v>
      </c>
    </row>
    <row r="47" spans="1:6" x14ac:dyDescent="0.25">
      <c r="A47" s="34" t="s">
        <v>641</v>
      </c>
      <c r="B47" s="37">
        <v>0.0229</v>
      </c>
      <c r="C47" s="37">
        <v>0.02</v>
      </c>
      <c r="D47" s="37">
        <v>0.0199</v>
      </c>
      <c r="E47" s="37">
        <v>0.019799999999999998</v>
      </c>
      <c r="F47" s="37">
        <v>0.019799999999999998</v>
      </c>
    </row>
    <row r="48" spans="1:6" x14ac:dyDescent="0.25">
      <c r="A48" s="32" t="s">
        <v>642</v>
      </c>
      <c r="B48" s="38">
        <v>0.024399999999999998</v>
      </c>
      <c r="C48" s="38">
        <v>0.024399999999999998</v>
      </c>
      <c r="D48" s="38">
        <v>0.024399999999999998</v>
      </c>
      <c r="E48" s="38">
        <v>0.024399999999999998</v>
      </c>
      <c r="F48" s="38">
        <v>0.024399999999999998</v>
      </c>
    </row>
    <row r="49" spans="1:6" x14ac:dyDescent="0.25">
      <c r="A49" s="34" t="s">
        <v>643</v>
      </c>
      <c r="B49" s="37">
        <v>0.3002</v>
      </c>
      <c r="C49" s="37">
        <v>0.3037</v>
      </c>
      <c r="D49" s="37">
        <v>0.3039</v>
      </c>
      <c r="E49" s="37">
        <v>0.3041</v>
      </c>
      <c r="F49" s="37">
        <v>0.3044</v>
      </c>
    </row>
    <row r="50" spans="1:1" x14ac:dyDescent="0.25">
      <c r="A50" s="42" t="s">
        <v>644</v>
      </c>
    </row>
    <row r="51" spans="1:1" x14ac:dyDescent="0.25">
      <c r="A51" s="2" t="s">
        <v>645</v>
      </c>
    </row>
    <row r="53" spans="1:1" x14ac:dyDescent="0.25">
      <c r="A53" s="3" t="s">
        <v>646</v>
      </c>
    </row>
    <row r="54" ht="30" customHeight="1" spans="1:13" x14ac:dyDescent="0.25">
      <c r="A54" s="4" t="s">
        <v>647</v>
      </c>
      <c r="B54" s="5" t="s">
        <v>648</v>
      </c>
      <c r="C54" s="5" t="s">
        <v>649</v>
      </c>
      <c r="D54" s="5" t="s">
        <v>650</v>
      </c>
      <c r="E54" s="5" t="s">
        <v>651</v>
      </c>
      <c r="F54" s="5" t="s">
        <v>652</v>
      </c>
      <c r="G54" s="5" t="s">
        <v>511</v>
      </c>
      <c r="H54" s="5" t="s">
        <v>512</v>
      </c>
      <c r="I54" s="5" t="s">
        <v>513</v>
      </c>
      <c r="J54" s="5" t="s">
        <v>653</v>
      </c>
      <c r="K54" s="5" t="s">
        <v>654</v>
      </c>
      <c r="L54" s="5" t="s">
        <v>655</v>
      </c>
      <c r="M54" s="5" t="s">
        <v>656</v>
      </c>
    </row>
    <row r="55" spans="1:13" x14ac:dyDescent="0.25">
      <c r="A55" s="32" t="s">
        <v>138</v>
      </c>
      <c r="B55" s="53">
        <v>45810</v>
      </c>
      <c r="C55" s="53">
        <v>42683</v>
      </c>
      <c r="D55" s="53">
        <v>47592</v>
      </c>
      <c r="E55" s="53">
        <v>40444</v>
      </c>
      <c r="F55" s="53">
        <v>43559</v>
      </c>
      <c r="G55" s="53">
        <v>44017.6</v>
      </c>
      <c r="H55" s="73">
        <v>-674.1</v>
      </c>
      <c r="I55" s="58">
        <v>0.148</v>
      </c>
      <c r="J55" s="53">
        <v>41995.3</v>
      </c>
      <c r="K55" s="53">
        <v>41321.2</v>
      </c>
      <c r="L55" s="53">
        <v>40647.1</v>
      </c>
      <c r="M55" s="53">
        <v>39973</v>
      </c>
    </row>
    <row r="56" spans="1:13" x14ac:dyDescent="0.25">
      <c r="A56" s="34" t="s">
        <v>657</v>
      </c>
      <c r="B56" s="69">
        <v>43901</v>
      </c>
      <c r="C56" s="69">
        <v>41215</v>
      </c>
      <c r="D56" s="69">
        <v>45106</v>
      </c>
      <c r="E56" s="69">
        <v>38622</v>
      </c>
      <c r="F56" s="69">
        <v>41704</v>
      </c>
      <c r="G56" s="69">
        <v>42109.6</v>
      </c>
      <c r="H56" s="76">
        <v>-698.7</v>
      </c>
      <c r="I56" s="62">
        <v>0.193</v>
      </c>
      <c r="J56" s="69">
        <v>40013.5</v>
      </c>
      <c r="K56" s="69">
        <v>39314.8</v>
      </c>
      <c r="L56" s="69">
        <v>38616.1</v>
      </c>
      <c r="M56" s="69">
        <v>37917.4</v>
      </c>
    </row>
    <row r="57" spans="1:13" x14ac:dyDescent="0.25">
      <c r="A57" s="32" t="s">
        <v>658</v>
      </c>
      <c r="B57" s="38">
        <v>0.3832</v>
      </c>
      <c r="C57" s="38">
        <v>0.2343</v>
      </c>
      <c r="D57" s="38">
        <v>0.2581</v>
      </c>
      <c r="E57" s="38">
        <v>0.371</v>
      </c>
      <c r="F57" s="38">
        <v>0.20550000000000002</v>
      </c>
      <c r="G57" s="38">
        <v>0.2904</v>
      </c>
      <c r="H57" s="33" t="s">
        <v>659</v>
      </c>
      <c r="I57" s="58">
        <v>0.18</v>
      </c>
      <c r="J57" s="38">
        <v>0.2249</v>
      </c>
      <c r="K57" s="38">
        <v>0.203</v>
      </c>
      <c r="L57" s="38">
        <v>0.18109999999999998</v>
      </c>
      <c r="M57" s="38">
        <v>0.1593</v>
      </c>
    </row>
    <row r="58" spans="1:13" x14ac:dyDescent="0.25">
      <c r="A58" s="34" t="s">
        <v>612</v>
      </c>
      <c r="B58" s="69">
        <v>1105.9</v>
      </c>
      <c r="C58" s="69">
        <v>1049.3</v>
      </c>
      <c r="D58" s="69">
        <v>1051</v>
      </c>
      <c r="E58" s="69">
        <v>1048.9</v>
      </c>
      <c r="F58" s="69">
        <v>1030.6</v>
      </c>
      <c r="G58" s="69">
        <v>1057.2</v>
      </c>
      <c r="H58" s="76">
        <v>-15.1</v>
      </c>
      <c r="I58" s="62">
        <v>0.702</v>
      </c>
      <c r="J58" s="69">
        <v>1011.9</v>
      </c>
      <c r="K58" s="75">
        <v>996.8</v>
      </c>
      <c r="L58" s="75">
        <v>981.7</v>
      </c>
      <c r="M58" s="75">
        <v>966.6</v>
      </c>
    </row>
    <row r="59" spans="1:13" x14ac:dyDescent="0.25">
      <c r="A59" s="32" t="s">
        <v>506</v>
      </c>
      <c r="B59" s="77">
        <v>663.2</v>
      </c>
      <c r="C59" s="77">
        <v>775.2</v>
      </c>
      <c r="D59" s="77">
        <v>816</v>
      </c>
      <c r="E59" s="77">
        <v>501</v>
      </c>
      <c r="F59" s="77">
        <v>909.9</v>
      </c>
      <c r="G59" s="77">
        <v>733.1</v>
      </c>
      <c r="H59" s="77">
        <v>21.9</v>
      </c>
      <c r="I59" s="58">
        <v>0.049</v>
      </c>
      <c r="J59" s="77">
        <v>798.8</v>
      </c>
      <c r="K59" s="77">
        <v>820.7</v>
      </c>
      <c r="L59" s="77">
        <v>842.7</v>
      </c>
      <c r="M59" s="77">
        <v>864.6</v>
      </c>
    </row>
    <row r="60" spans="1:13" x14ac:dyDescent="0.25">
      <c r="A60" s="34" t="s">
        <v>660</v>
      </c>
      <c r="B60" s="69">
        <v>11066</v>
      </c>
      <c r="C60" s="69">
        <v>11577</v>
      </c>
      <c r="D60" s="69">
        <v>9310</v>
      </c>
      <c r="E60" s="69">
        <v>9712</v>
      </c>
      <c r="F60" s="69">
        <v>7301.9</v>
      </c>
      <c r="G60" s="69">
        <v>9793.4</v>
      </c>
      <c r="H60" s="76">
        <v>-939.3</v>
      </c>
      <c r="I60" s="62">
        <v>0.784</v>
      </c>
      <c r="J60" s="69">
        <v>6975.4</v>
      </c>
      <c r="K60" s="69">
        <v>6036.1</v>
      </c>
      <c r="L60" s="69">
        <v>5096.8</v>
      </c>
      <c r="M60" s="69">
        <v>4157.5</v>
      </c>
    </row>
    <row r="61" spans="1:1" x14ac:dyDescent="0.25">
      <c r="A61" s="42" t="s">
        <v>661</v>
      </c>
    </row>
    <row r="62" spans="1:1" x14ac:dyDescent="0.25">
      <c r="A62" s="2" t="s">
        <v>662</v>
      </c>
    </row>
    <row r="64" spans="1:1" x14ac:dyDescent="0.25">
      <c r="A64" s="3" t="s">
        <v>663</v>
      </c>
    </row>
    <row r="65" ht="30" customHeight="1" spans="1:8" x14ac:dyDescent="0.25">
      <c r="A65" s="4" t="s">
        <v>664</v>
      </c>
      <c r="B65" s="5" t="s">
        <v>665</v>
      </c>
      <c r="C65" s="5" t="s">
        <v>666</v>
      </c>
      <c r="D65" s="5" t="s">
        <v>647</v>
      </c>
      <c r="E65" s="5" t="s">
        <v>667</v>
      </c>
      <c r="F65" s="5" t="s">
        <v>668</v>
      </c>
      <c r="G65" s="5" t="s">
        <v>669</v>
      </c>
      <c r="H65" s="5" t="s">
        <v>670</v>
      </c>
    </row>
    <row r="66" spans="1:8" x14ac:dyDescent="0.25">
      <c r="A66" s="32" t="s">
        <v>671</v>
      </c>
      <c r="B66" s="33" t="s">
        <v>672</v>
      </c>
      <c r="C66" s="32" t="s">
        <v>673</v>
      </c>
      <c r="D66" s="33" t="s">
        <v>138</v>
      </c>
      <c r="E66" s="33" t="s">
        <v>674</v>
      </c>
      <c r="F66" s="38">
        <v>0.005</v>
      </c>
      <c r="G66" s="33" t="s">
        <v>386</v>
      </c>
      <c r="H66" s="33" t="s">
        <v>386</v>
      </c>
    </row>
    <row r="67" spans="1:8" x14ac:dyDescent="0.25">
      <c r="A67" s="34" t="s">
        <v>675</v>
      </c>
      <c r="B67" s="35" t="s">
        <v>672</v>
      </c>
      <c r="C67" s="34" t="s">
        <v>676</v>
      </c>
      <c r="D67" s="35" t="s">
        <v>677</v>
      </c>
      <c r="E67" s="35" t="s">
        <v>678</v>
      </c>
      <c r="F67" s="35" t="s">
        <v>386</v>
      </c>
      <c r="G67" s="35" t="s">
        <v>386</v>
      </c>
      <c r="H67" s="35" t="s">
        <v>386</v>
      </c>
    </row>
    <row r="68" spans="1:8" x14ac:dyDescent="0.25">
      <c r="A68" s="32" t="s">
        <v>679</v>
      </c>
      <c r="B68" s="33" t="s">
        <v>680</v>
      </c>
      <c r="C68" s="32" t="s">
        <v>681</v>
      </c>
      <c r="D68" s="33" t="s">
        <v>682</v>
      </c>
      <c r="E68" s="33" t="s">
        <v>683</v>
      </c>
      <c r="F68" s="33" t="s">
        <v>386</v>
      </c>
      <c r="G68" s="33" t="s">
        <v>386</v>
      </c>
      <c r="H68" s="33" t="s">
        <v>386</v>
      </c>
    </row>
    <row r="69" spans="1:8" x14ac:dyDescent="0.25">
      <c r="A69" s="34" t="s">
        <v>684</v>
      </c>
      <c r="B69" s="35" t="s">
        <v>672</v>
      </c>
      <c r="C69" s="35" t="s">
        <v>685</v>
      </c>
      <c r="D69" s="35" t="s">
        <v>686</v>
      </c>
      <c r="E69" s="35" t="s">
        <v>683</v>
      </c>
      <c r="F69" s="35" t="s">
        <v>386</v>
      </c>
      <c r="G69" s="37">
        <v>0.001</v>
      </c>
      <c r="H69" s="37">
        <v>0.01</v>
      </c>
    </row>
    <row r="70" spans="1:8" x14ac:dyDescent="0.25">
      <c r="A70" s="32" t="s">
        <v>687</v>
      </c>
      <c r="B70" s="33" t="s">
        <v>672</v>
      </c>
      <c r="C70" s="33" t="s">
        <v>688</v>
      </c>
      <c r="D70" s="33" t="s">
        <v>138</v>
      </c>
      <c r="E70" s="33" t="s">
        <v>683</v>
      </c>
      <c r="F70" s="49">
        <v>-0.003</v>
      </c>
      <c r="G70" s="33" t="s">
        <v>386</v>
      </c>
      <c r="H70" s="33" t="s">
        <v>386</v>
      </c>
    </row>
    <row r="71" spans="1:8" x14ac:dyDescent="0.25">
      <c r="A71" s="34" t="s">
        <v>689</v>
      </c>
      <c r="B71" s="35" t="s">
        <v>690</v>
      </c>
      <c r="C71" s="35" t="s">
        <v>691</v>
      </c>
      <c r="D71" s="35" t="s">
        <v>692</v>
      </c>
      <c r="E71" s="35" t="s">
        <v>693</v>
      </c>
      <c r="F71" s="37">
        <v>0.002</v>
      </c>
      <c r="G71" s="37">
        <v>0.0015</v>
      </c>
      <c r="H71" s="35" t="s">
        <v>386</v>
      </c>
    </row>
    <row r="72" spans="1:8" x14ac:dyDescent="0.25">
      <c r="A72" s="32" t="s">
        <v>694</v>
      </c>
      <c r="B72" s="33" t="s">
        <v>690</v>
      </c>
      <c r="C72" s="32" t="s">
        <v>695</v>
      </c>
      <c r="D72" s="33" t="s">
        <v>696</v>
      </c>
      <c r="E72" s="33" t="s">
        <v>683</v>
      </c>
      <c r="F72" s="33" t="s">
        <v>386</v>
      </c>
      <c r="G72" s="38">
        <v>0.0005</v>
      </c>
      <c r="H72" s="33" t="s">
        <v>386</v>
      </c>
    </row>
    <row r="73" spans="1:8" x14ac:dyDescent="0.25">
      <c r="A73" s="34" t="s">
        <v>697</v>
      </c>
      <c r="B73" s="35" t="s">
        <v>698</v>
      </c>
      <c r="C73" s="34" t="s">
        <v>699</v>
      </c>
      <c r="D73" s="35" t="s">
        <v>138</v>
      </c>
      <c r="E73" s="35" t="s">
        <v>683</v>
      </c>
      <c r="F73" s="50">
        <v>-0.002</v>
      </c>
      <c r="G73" s="35" t="s">
        <v>386</v>
      </c>
      <c r="H73" s="35" t="s">
        <v>386</v>
      </c>
    </row>
    <row r="74" spans="1:8" x14ac:dyDescent="0.25">
      <c r="A74" s="32" t="s">
        <v>700</v>
      </c>
      <c r="B74" s="33" t="s">
        <v>701</v>
      </c>
      <c r="C74" s="32" t="s">
        <v>702</v>
      </c>
      <c r="D74" s="33" t="s">
        <v>686</v>
      </c>
      <c r="E74" s="33" t="s">
        <v>683</v>
      </c>
      <c r="F74" s="33" t="s">
        <v>386</v>
      </c>
      <c r="G74" s="38">
        <v>0.0005</v>
      </c>
      <c r="H74" s="38">
        <v>0.005</v>
      </c>
    </row>
    <row r="75" spans="1:8" x14ac:dyDescent="0.25">
      <c r="A75" s="34" t="s">
        <v>703</v>
      </c>
      <c r="B75" s="35" t="s">
        <v>704</v>
      </c>
      <c r="C75" s="34" t="s">
        <v>705</v>
      </c>
      <c r="D75" s="35" t="s">
        <v>138</v>
      </c>
      <c r="E75" s="35" t="s">
        <v>683</v>
      </c>
      <c r="F75" s="50">
        <v>-0.003</v>
      </c>
      <c r="G75" s="35" t="s">
        <v>386</v>
      </c>
      <c r="H75" s="35" t="s">
        <v>386</v>
      </c>
    </row>
    <row r="76" spans="1:8" x14ac:dyDescent="0.25">
      <c r="A76" s="32" t="s">
        <v>706</v>
      </c>
      <c r="B76" s="33" t="s">
        <v>707</v>
      </c>
      <c r="C76" s="33" t="s">
        <v>708</v>
      </c>
      <c r="D76" s="33" t="s">
        <v>138</v>
      </c>
      <c r="E76" s="33" t="s">
        <v>683</v>
      </c>
      <c r="F76" s="49">
        <v>-0.002</v>
      </c>
      <c r="G76" s="33" t="s">
        <v>386</v>
      </c>
      <c r="H76" s="33" t="s">
        <v>386</v>
      </c>
    </row>
    <row r="77" spans="1:8" x14ac:dyDescent="0.25">
      <c r="A77" s="34" t="s">
        <v>709</v>
      </c>
      <c r="B77" s="35" t="s">
        <v>710</v>
      </c>
      <c r="C77" s="35" t="s">
        <v>711</v>
      </c>
      <c r="D77" s="35" t="s">
        <v>696</v>
      </c>
      <c r="E77" s="35" t="s">
        <v>683</v>
      </c>
      <c r="F77" s="35" t="s">
        <v>386</v>
      </c>
      <c r="G77" s="37">
        <v>0.0005</v>
      </c>
      <c r="H77" s="35" t="s">
        <v>386</v>
      </c>
    </row>
    <row r="78" spans="1:8" x14ac:dyDescent="0.25">
      <c r="A78" s="32" t="s">
        <v>712</v>
      </c>
      <c r="B78" s="33" t="s">
        <v>713</v>
      </c>
      <c r="C78" s="32" t="s">
        <v>714</v>
      </c>
      <c r="D78" s="33" t="s">
        <v>138</v>
      </c>
      <c r="E78" s="33" t="s">
        <v>683</v>
      </c>
      <c r="F78" s="49">
        <v>-0.005</v>
      </c>
      <c r="G78" s="33" t="s">
        <v>386</v>
      </c>
      <c r="H78" s="33" t="s">
        <v>386</v>
      </c>
    </row>
    <row r="79" spans="1:8" x14ac:dyDescent="0.25">
      <c r="A79" s="34" t="s">
        <v>715</v>
      </c>
      <c r="B79" s="35" t="s">
        <v>716</v>
      </c>
      <c r="C79" s="34" t="s">
        <v>717</v>
      </c>
      <c r="D79" s="35" t="s">
        <v>677</v>
      </c>
      <c r="E79" s="35" t="s">
        <v>683</v>
      </c>
      <c r="F79" s="50">
        <v>-0.005</v>
      </c>
      <c r="G79" s="37">
        <v>0.001</v>
      </c>
      <c r="H79" s="35" t="s">
        <v>386</v>
      </c>
    </row>
    <row r="80" spans="1:8" x14ac:dyDescent="0.25">
      <c r="A80" s="32" t="s">
        <v>718</v>
      </c>
      <c r="B80" s="33" t="s">
        <v>716</v>
      </c>
      <c r="C80" s="32" t="s">
        <v>719</v>
      </c>
      <c r="D80" s="33" t="s">
        <v>720</v>
      </c>
      <c r="E80" s="33" t="s">
        <v>693</v>
      </c>
      <c r="F80" s="38">
        <v>0.002</v>
      </c>
      <c r="G80" s="33" t="s">
        <v>386</v>
      </c>
      <c r="H80" s="38">
        <v>0.01</v>
      </c>
    </row>
    <row r="81" spans="1:8" x14ac:dyDescent="0.25">
      <c r="A81" s="34" t="s">
        <v>721</v>
      </c>
      <c r="B81" s="35" t="s">
        <v>722</v>
      </c>
      <c r="C81" s="35" t="s">
        <v>723</v>
      </c>
      <c r="D81" s="35" t="s">
        <v>724</v>
      </c>
      <c r="E81" s="35" t="s">
        <v>693</v>
      </c>
      <c r="F81" s="37">
        <v>0.001</v>
      </c>
      <c r="G81" s="37">
        <v>0.0002</v>
      </c>
      <c r="H81" s="35" t="s">
        <v>386</v>
      </c>
    </row>
    <row r="82" spans="1:8" x14ac:dyDescent="0.25">
      <c r="A82" s="32" t="s">
        <v>725</v>
      </c>
      <c r="B82" s="33" t="s">
        <v>722</v>
      </c>
      <c r="C82" s="33" t="s">
        <v>726</v>
      </c>
      <c r="D82" s="33" t="s">
        <v>727</v>
      </c>
      <c r="E82" s="33" t="s">
        <v>674</v>
      </c>
      <c r="F82" s="38">
        <v>0.001</v>
      </c>
      <c r="G82" s="33" t="s">
        <v>386</v>
      </c>
      <c r="H82" s="33" t="s">
        <v>386</v>
      </c>
    </row>
    <row r="83" spans="1:8" s="17" customFormat="1" x14ac:dyDescent="0.25">
      <c r="A83" s="44" t="s">
        <v>728</v>
      </c>
      <c r="B83" s="47" t="s">
        <v>442</v>
      </c>
      <c r="C83" s="47" t="s">
        <v>442</v>
      </c>
      <c r="D83" s="47" t="s">
        <v>442</v>
      </c>
      <c r="E83" s="47" t="s">
        <v>442</v>
      </c>
      <c r="F83" s="52">
        <v>-0.009000000000000001</v>
      </c>
      <c r="G83" s="45">
        <v>0.0052</v>
      </c>
      <c r="H83" s="45">
        <v>0.025</v>
      </c>
    </row>
    <row r="84" spans="1:1" x14ac:dyDescent="0.25">
      <c r="A84" s="42" t="s">
        <v>729</v>
      </c>
    </row>
    <row r="85" spans="1:1" x14ac:dyDescent="0.25">
      <c r="A85" s="2" t="s">
        <v>730</v>
      </c>
    </row>
    <row r="87" spans="1:1" x14ac:dyDescent="0.25">
      <c r="A87" s="3" t="s">
        <v>731</v>
      </c>
    </row>
    <row r="88" ht="30" customHeight="1" spans="1:7" x14ac:dyDescent="0.25">
      <c r="A88" s="4" t="s">
        <v>100</v>
      </c>
      <c r="B88" s="5" t="s">
        <v>607</v>
      </c>
      <c r="C88" s="5" t="s">
        <v>133</v>
      </c>
      <c r="D88" s="5" t="s">
        <v>134</v>
      </c>
      <c r="E88" s="5" t="s">
        <v>135</v>
      </c>
      <c r="F88" s="5" t="s">
        <v>136</v>
      </c>
      <c r="G88" s="5" t="s">
        <v>137</v>
      </c>
    </row>
    <row r="89" spans="1:7" s="17" customFormat="1" x14ac:dyDescent="0.25">
      <c r="A89" s="64" t="s">
        <v>138</v>
      </c>
      <c r="B89" s="74">
        <v>177515</v>
      </c>
      <c r="C89" s="74">
        <v>169070.4</v>
      </c>
      <c r="D89" s="74">
        <v>171572.6</v>
      </c>
      <c r="E89" s="74">
        <v>177530.5</v>
      </c>
      <c r="F89" s="74">
        <v>185040</v>
      </c>
      <c r="G89" s="74">
        <v>193343.7</v>
      </c>
    </row>
    <row r="90" spans="1:7" x14ac:dyDescent="0.25">
      <c r="A90" s="34" t="s">
        <v>732</v>
      </c>
      <c r="B90" s="35" t="s">
        <v>442</v>
      </c>
      <c r="C90" s="50">
        <v>-0.047599999999999996</v>
      </c>
      <c r="D90" s="37">
        <v>0.0148</v>
      </c>
      <c r="E90" s="37">
        <v>0.0347</v>
      </c>
      <c r="F90" s="37">
        <v>0.042300000000000004</v>
      </c>
      <c r="G90" s="37">
        <v>0.0449</v>
      </c>
    </row>
    <row r="91" spans="1:7" x14ac:dyDescent="0.25">
      <c r="A91" s="32" t="s">
        <v>139</v>
      </c>
      <c r="B91" s="53">
        <v>7551</v>
      </c>
      <c r="C91" s="53">
        <v>7424.5</v>
      </c>
      <c r="D91" s="53">
        <v>7498.3</v>
      </c>
      <c r="E91" s="53">
        <v>7790.9</v>
      </c>
      <c r="F91" s="53">
        <v>8159.6</v>
      </c>
      <c r="G91" s="53">
        <v>8572.5</v>
      </c>
    </row>
    <row r="92" spans="1:7" x14ac:dyDescent="0.25">
      <c r="A92" s="34" t="s">
        <v>639</v>
      </c>
      <c r="B92" s="37">
        <v>0.0425</v>
      </c>
      <c r="C92" s="37">
        <v>0.043899999999999995</v>
      </c>
      <c r="D92" s="37">
        <v>0.0437</v>
      </c>
      <c r="E92" s="37">
        <v>0.043899999999999995</v>
      </c>
      <c r="F92" s="37">
        <v>0.0441</v>
      </c>
      <c r="G92" s="37">
        <v>0.0443</v>
      </c>
    </row>
    <row r="93" spans="1:7" x14ac:dyDescent="0.25">
      <c r="A93" s="32" t="s">
        <v>141</v>
      </c>
      <c r="B93" s="33" t="s">
        <v>442</v>
      </c>
      <c r="C93" s="73">
        <v>-2228.8</v>
      </c>
      <c r="D93" s="73">
        <v>-2277.3</v>
      </c>
      <c r="E93" s="73">
        <v>-2367.8</v>
      </c>
      <c r="F93" s="73">
        <v>-2481.6</v>
      </c>
      <c r="G93" s="73">
        <v>-2609.1</v>
      </c>
    </row>
    <row r="94" spans="1:7" x14ac:dyDescent="0.25">
      <c r="A94" s="34" t="s">
        <v>643</v>
      </c>
      <c r="B94" s="35" t="s">
        <v>442</v>
      </c>
      <c r="C94" s="37">
        <v>0.3002</v>
      </c>
      <c r="D94" s="37">
        <v>0.3037</v>
      </c>
      <c r="E94" s="37">
        <v>0.3039</v>
      </c>
      <c r="F94" s="37">
        <v>0.3041</v>
      </c>
      <c r="G94" s="37">
        <v>0.3044</v>
      </c>
    </row>
    <row r="95" spans="1:7" s="17" customFormat="1" x14ac:dyDescent="0.25">
      <c r="A95" s="64" t="s">
        <v>142</v>
      </c>
      <c r="B95" s="72" t="s">
        <v>442</v>
      </c>
      <c r="C95" s="74">
        <v>5195.6</v>
      </c>
      <c r="D95" s="74">
        <v>5221.1</v>
      </c>
      <c r="E95" s="74">
        <v>5423.1</v>
      </c>
      <c r="F95" s="74">
        <v>5678</v>
      </c>
      <c r="G95" s="74">
        <v>5963.5</v>
      </c>
    </row>
    <row r="96" spans="1:7" x14ac:dyDescent="0.25">
      <c r="A96" s="34" t="s">
        <v>143</v>
      </c>
      <c r="B96" s="69">
        <v>4342</v>
      </c>
      <c r="C96" s="69">
        <v>4130.1</v>
      </c>
      <c r="D96" s="69">
        <v>4191.3</v>
      </c>
      <c r="E96" s="69">
        <v>4337.7</v>
      </c>
      <c r="F96" s="69">
        <v>4522.2</v>
      </c>
      <c r="G96" s="69">
        <v>4726.1</v>
      </c>
    </row>
    <row r="97" spans="1:7" x14ac:dyDescent="0.25">
      <c r="A97" s="32" t="s">
        <v>144</v>
      </c>
      <c r="B97" s="73">
        <v>-2867</v>
      </c>
      <c r="C97" s="73">
        <v>-3864.6</v>
      </c>
      <c r="D97" s="73">
        <v>-3428.9</v>
      </c>
      <c r="E97" s="73">
        <v>-3535.2</v>
      </c>
      <c r="F97" s="73">
        <v>-3671.5</v>
      </c>
      <c r="G97" s="73">
        <v>-3822.4</v>
      </c>
    </row>
    <row r="98" spans="1:7" x14ac:dyDescent="0.25">
      <c r="A98" s="34" t="s">
        <v>145</v>
      </c>
      <c r="B98" s="35" t="s">
        <v>442</v>
      </c>
      <c r="C98" s="75">
        <v>106.6</v>
      </c>
      <c r="D98" s="76">
        <v>-94.4</v>
      </c>
      <c r="E98" s="75">
        <v>198.1</v>
      </c>
      <c r="F98" s="76">
        <v>-147.2</v>
      </c>
      <c r="G98" s="76">
        <v>-162.8</v>
      </c>
    </row>
    <row r="99" spans="1:7" s="17" customFormat="1" x14ac:dyDescent="0.25">
      <c r="A99" s="64" t="s">
        <v>507</v>
      </c>
      <c r="B99" s="74">
        <v>6761.4</v>
      </c>
      <c r="C99" s="74">
        <v>5567.8</v>
      </c>
      <c r="D99" s="74">
        <v>5889.1</v>
      </c>
      <c r="E99" s="74">
        <v>6423.8</v>
      </c>
      <c r="F99" s="74">
        <v>6381.5</v>
      </c>
      <c r="G99" s="74">
        <v>6704.4</v>
      </c>
    </row>
    <row r="100" spans="1:7" x14ac:dyDescent="0.25">
      <c r="A100" s="34" t="s">
        <v>733</v>
      </c>
      <c r="B100" s="35" t="s">
        <v>442</v>
      </c>
      <c r="C100" s="60">
        <v>0.9127</v>
      </c>
      <c r="D100" s="60">
        <v>0.8331</v>
      </c>
      <c r="E100" s="60">
        <v>0.7603</v>
      </c>
      <c r="F100" s="60">
        <v>0.694</v>
      </c>
      <c r="G100" s="60">
        <v>0.6334</v>
      </c>
    </row>
    <row r="101" spans="1:7" s="17" customFormat="1" x14ac:dyDescent="0.25">
      <c r="A101" s="64" t="s">
        <v>734</v>
      </c>
      <c r="B101" s="72" t="s">
        <v>442</v>
      </c>
      <c r="C101" s="74">
        <v>5081.9</v>
      </c>
      <c r="D101" s="74">
        <v>4905.9</v>
      </c>
      <c r="E101" s="74">
        <v>4884.3</v>
      </c>
      <c r="F101" s="74">
        <v>4428.6</v>
      </c>
      <c r="G101" s="74">
        <v>4246.7</v>
      </c>
    </row>
    <row r="102" spans="1:1" x14ac:dyDescent="0.25">
      <c r="A102" s="42" t="s">
        <v>735</v>
      </c>
    </row>
    <row r="103" spans="1:1" x14ac:dyDescent="0.25">
      <c r="A103" s="2" t="s">
        <v>736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FormatPr defaultRowHeight="15" outlineLevelRow="0" outlineLevelCol="0" x14ac:dyDescent="55"/>
  <cols>
    <col min="1" max="1" width="44" customWidth="1"/>
    <col min="2" max="2" width="22" customWidth="1"/>
  </cols>
  <sheetData>
    <row r="1" spans="1:1" x14ac:dyDescent="0.25">
      <c r="A1" s="1" t="s">
        <v>737</v>
      </c>
    </row>
    <row r="2" spans="1:1" x14ac:dyDescent="0.25">
      <c r="A2" s="2" t="s">
        <v>352</v>
      </c>
    </row>
    <row r="3" spans="1:1" x14ac:dyDescent="0.25">
      <c r="A3" s="3" t="s">
        <v>738</v>
      </c>
    </row>
    <row r="4" ht="30" customHeight="1" spans="1:2" x14ac:dyDescent="0.25">
      <c r="A4" s="4" t="s">
        <v>100</v>
      </c>
      <c r="B4" s="5" t="s">
        <v>62</v>
      </c>
    </row>
    <row r="5" spans="1:2" x14ac:dyDescent="0.25">
      <c r="A5" s="32" t="s">
        <v>739</v>
      </c>
      <c r="B5" s="53">
        <v>5800.7</v>
      </c>
    </row>
    <row r="6" spans="1:2" x14ac:dyDescent="0.25">
      <c r="A6" s="34" t="s">
        <v>740</v>
      </c>
      <c r="B6" s="69">
        <v>99025.3</v>
      </c>
    </row>
    <row r="7" spans="1:2" x14ac:dyDescent="0.25">
      <c r="A7" s="32" t="s">
        <v>741</v>
      </c>
      <c r="B7" s="53">
        <v>62723.6</v>
      </c>
    </row>
    <row r="8" spans="1:2" x14ac:dyDescent="0.25">
      <c r="A8" s="34" t="s">
        <v>742</v>
      </c>
      <c r="B8" s="69">
        <v>77275.4</v>
      </c>
    </row>
    <row r="9" spans="1:2" x14ac:dyDescent="0.25">
      <c r="A9" s="32" t="s">
        <v>743</v>
      </c>
      <c r="B9" s="53">
        <v>48947</v>
      </c>
    </row>
    <row r="10" spans="1:2" s="17" customFormat="1" x14ac:dyDescent="0.25">
      <c r="A10" s="44" t="s">
        <v>744</v>
      </c>
      <c r="B10" s="54">
        <v>55835.3</v>
      </c>
    </row>
    <row r="11" spans="1:2" x14ac:dyDescent="0.25">
      <c r="A11" s="32" t="s">
        <v>45</v>
      </c>
      <c r="B11" s="36">
        <v>0.703</v>
      </c>
    </row>
    <row r="12" spans="1:1" x14ac:dyDescent="0.25">
      <c r="A12" s="2" t="s">
        <v>745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9"/>
  <sheetFormatPr defaultRowHeight="15" outlineLevelRow="0" outlineLevelCol="0" x14ac:dyDescent="55"/>
  <cols>
    <col min="1" max="1" width="44" customWidth="1"/>
    <col min="2" max="2" width="22" customWidth="1"/>
  </cols>
  <sheetData>
    <row r="1" spans="1:1" x14ac:dyDescent="0.25">
      <c r="A1" s="1" t="s">
        <v>746</v>
      </c>
    </row>
    <row r="2" spans="1:1" x14ac:dyDescent="0.25">
      <c r="A2" s="2" t="s">
        <v>352</v>
      </c>
    </row>
    <row r="3" spans="1:1" x14ac:dyDescent="0.25">
      <c r="A3" s="3" t="s">
        <v>747</v>
      </c>
    </row>
    <row r="4" ht="30" customHeight="1" spans="1:2" x14ac:dyDescent="0.25">
      <c r="A4" s="4" t="s">
        <v>100</v>
      </c>
      <c r="B4" s="5" t="s">
        <v>22</v>
      </c>
    </row>
    <row r="5" spans="1:2" x14ac:dyDescent="0.25">
      <c r="A5" s="32" t="s">
        <v>748</v>
      </c>
      <c r="B5" s="53">
        <v>23547.4</v>
      </c>
    </row>
    <row r="6" spans="1:2" x14ac:dyDescent="0.25">
      <c r="A6" s="34" t="s">
        <v>749</v>
      </c>
      <c r="B6" s="69">
        <v>6003.7</v>
      </c>
    </row>
    <row r="7" spans="1:2" x14ac:dyDescent="0.25">
      <c r="A7" s="32" t="s">
        <v>750</v>
      </c>
      <c r="B7" s="53">
        <v>99025.3</v>
      </c>
    </row>
    <row r="8" spans="1:2" x14ac:dyDescent="0.25">
      <c r="A8" s="34" t="s">
        <v>751</v>
      </c>
      <c r="B8" s="69">
        <v>62723.6</v>
      </c>
    </row>
    <row r="9" spans="1:2" s="17" customFormat="1" x14ac:dyDescent="0.25">
      <c r="A9" s="64" t="s">
        <v>752</v>
      </c>
      <c r="B9" s="74">
        <v>86271</v>
      </c>
    </row>
    <row r="10" spans="1:2" x14ac:dyDescent="0.25">
      <c r="A10" s="34" t="s">
        <v>753</v>
      </c>
      <c r="B10" s="69">
        <v>77275.4</v>
      </c>
    </row>
    <row r="11" spans="1:2" x14ac:dyDescent="0.25">
      <c r="A11" s="32" t="s">
        <v>754</v>
      </c>
      <c r="B11" s="53">
        <v>48947</v>
      </c>
    </row>
    <row r="12" spans="1:2" s="17" customFormat="1" x14ac:dyDescent="0.25">
      <c r="A12" s="44" t="s">
        <v>755</v>
      </c>
      <c r="B12" s="54">
        <v>72494.4</v>
      </c>
    </row>
    <row r="13" spans="1:2" s="17" customFormat="1" x14ac:dyDescent="0.25">
      <c r="A13" s="64" t="s">
        <v>756</v>
      </c>
      <c r="B13" s="74">
        <v>79382.7</v>
      </c>
    </row>
    <row r="14" spans="1:2" x14ac:dyDescent="0.25">
      <c r="A14" s="34" t="s">
        <v>757</v>
      </c>
      <c r="B14" s="76">
        <v>-11500</v>
      </c>
    </row>
    <row r="15" spans="1:2" x14ac:dyDescent="0.25">
      <c r="A15" s="32" t="s">
        <v>758</v>
      </c>
      <c r="B15" s="73">
        <v>-12118</v>
      </c>
    </row>
    <row r="16" spans="1:2" x14ac:dyDescent="0.25">
      <c r="A16" s="34" t="s">
        <v>759</v>
      </c>
      <c r="B16" s="69">
        <v>9295</v>
      </c>
    </row>
    <row r="17" spans="1:2" s="17" customFormat="1" x14ac:dyDescent="0.25">
      <c r="A17" s="64" t="s">
        <v>760</v>
      </c>
      <c r="B17" s="74">
        <v>65059.7</v>
      </c>
    </row>
    <row r="18" spans="1:2" x14ac:dyDescent="0.25">
      <c r="A18" s="34" t="s">
        <v>761</v>
      </c>
      <c r="B18" s="69">
        <v>83091.6</v>
      </c>
    </row>
    <row r="19" spans="1:2" x14ac:dyDescent="0.25">
      <c r="A19" s="32" t="s">
        <v>762</v>
      </c>
      <c r="B19" s="53">
        <v>1060.5</v>
      </c>
    </row>
    <row r="20" spans="1:2" s="17" customFormat="1" x14ac:dyDescent="0.25">
      <c r="A20" s="44" t="s">
        <v>763</v>
      </c>
      <c r="B20" s="54">
        <v>84152.1</v>
      </c>
    </row>
    <row r="21" spans="1:2" x14ac:dyDescent="0.25">
      <c r="A21" s="32" t="s">
        <v>764</v>
      </c>
      <c r="B21" s="73">
        <v>-11500</v>
      </c>
    </row>
    <row r="22" spans="1:2" x14ac:dyDescent="0.25">
      <c r="A22" s="34" t="s">
        <v>765</v>
      </c>
      <c r="B22" s="76">
        <v>-12220.6</v>
      </c>
    </row>
    <row r="23" spans="1:2" x14ac:dyDescent="0.25">
      <c r="A23" s="32" t="s">
        <v>766</v>
      </c>
      <c r="B23" s="53">
        <v>6875.4</v>
      </c>
    </row>
    <row r="24" spans="1:2" s="17" customFormat="1" x14ac:dyDescent="0.25">
      <c r="A24" s="44" t="s">
        <v>767</v>
      </c>
      <c r="B24" s="54">
        <v>67306.9</v>
      </c>
    </row>
    <row r="25" spans="1:2" s="17" customFormat="1" x14ac:dyDescent="0.25">
      <c r="A25" s="64" t="s">
        <v>768</v>
      </c>
      <c r="B25" s="74">
        <v>69012.1</v>
      </c>
    </row>
    <row r="26" spans="1:2" x14ac:dyDescent="0.25">
      <c r="A26" s="34" t="s">
        <v>769</v>
      </c>
      <c r="B26" s="69">
        <v>1800</v>
      </c>
    </row>
    <row r="27" spans="1:2" s="17" customFormat="1" x14ac:dyDescent="0.25">
      <c r="A27" s="64" t="s">
        <v>770</v>
      </c>
      <c r="B27" s="78">
        <v>38.34</v>
      </c>
    </row>
    <row r="28" spans="1:1" x14ac:dyDescent="0.25">
      <c r="A28" s="42" t="s">
        <v>771</v>
      </c>
    </row>
    <row r="29" spans="1:1" x14ac:dyDescent="0.25">
      <c r="A29" s="2" t="s">
        <v>772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6"/>
  <sheetFormatPr defaultRowHeight="15" outlineLevelRow="0" outlineLevelCol="0" x14ac:dyDescent="55"/>
  <cols>
    <col min="1" max="1" width="44" customWidth="1"/>
    <col min="2" max="12" width="14" customWidth="1"/>
  </cols>
  <sheetData>
    <row r="1" spans="1:1" x14ac:dyDescent="0.25">
      <c r="A1" s="1" t="s">
        <v>773</v>
      </c>
    </row>
    <row r="2" spans="1:1" x14ac:dyDescent="0.25">
      <c r="A2" s="2" t="s">
        <v>352</v>
      </c>
    </row>
    <row r="3" spans="1:1" x14ac:dyDescent="0.25">
      <c r="A3" s="3" t="s">
        <v>774</v>
      </c>
    </row>
    <row r="4" ht="30" customHeight="1" spans="1:12" x14ac:dyDescent="0.25">
      <c r="A4" s="4" t="s">
        <v>2</v>
      </c>
      <c r="B4" s="5" t="s">
        <v>775</v>
      </c>
      <c r="C4" s="5" t="s">
        <v>776</v>
      </c>
      <c r="D4" s="5" t="s">
        <v>777</v>
      </c>
      <c r="E4" s="5" t="s">
        <v>778</v>
      </c>
      <c r="F4" s="5" t="s">
        <v>779</v>
      </c>
      <c r="G4" s="5" t="s">
        <v>780</v>
      </c>
      <c r="H4" s="5" t="s">
        <v>184</v>
      </c>
      <c r="I4" s="5" t="s">
        <v>183</v>
      </c>
      <c r="J4" s="5" t="s">
        <v>781</v>
      </c>
      <c r="K4" s="5" t="s">
        <v>782</v>
      </c>
      <c r="L4" s="5" t="s">
        <v>783</v>
      </c>
    </row>
    <row r="5" spans="1:12" x14ac:dyDescent="0.25">
      <c r="A5" s="32" t="s">
        <v>784</v>
      </c>
      <c r="B5" s="33" t="s">
        <v>785</v>
      </c>
      <c r="C5" s="33" t="s">
        <v>786</v>
      </c>
      <c r="D5" s="33" t="s">
        <v>778</v>
      </c>
      <c r="E5" s="33" t="s">
        <v>787</v>
      </c>
      <c r="F5" s="36">
        <v>0.064</v>
      </c>
      <c r="G5" s="79">
        <v>-0.034</v>
      </c>
      <c r="H5" s="80">
        <v>0.5</v>
      </c>
      <c r="I5" s="80">
        <v>5.7</v>
      </c>
      <c r="J5" s="80">
        <v>8.8</v>
      </c>
      <c r="K5" s="81">
        <v>13.1</v>
      </c>
      <c r="L5" s="32" t="s">
        <v>788</v>
      </c>
    </row>
    <row r="6" spans="1:12" x14ac:dyDescent="0.25">
      <c r="A6" s="34" t="s">
        <v>789</v>
      </c>
      <c r="B6" s="35" t="s">
        <v>790</v>
      </c>
      <c r="C6" s="35" t="s">
        <v>791</v>
      </c>
      <c r="D6" s="35" t="s">
        <v>792</v>
      </c>
      <c r="E6" s="35" t="s">
        <v>787</v>
      </c>
      <c r="F6" s="82">
        <v>0.059000000000000004</v>
      </c>
      <c r="G6" s="82">
        <v>0.187</v>
      </c>
      <c r="H6" s="83">
        <v>0.4</v>
      </c>
      <c r="I6" s="83">
        <v>5.3</v>
      </c>
      <c r="J6" s="83">
        <v>6.6</v>
      </c>
      <c r="K6" s="83">
        <v>4.7</v>
      </c>
      <c r="L6" s="34" t="s">
        <v>793</v>
      </c>
    </row>
    <row r="7" spans="1:12" x14ac:dyDescent="0.25">
      <c r="A7" s="32" t="s">
        <v>794</v>
      </c>
      <c r="B7" s="33" t="s">
        <v>785</v>
      </c>
      <c r="C7" s="33" t="s">
        <v>795</v>
      </c>
      <c r="D7" s="33" t="s">
        <v>796</v>
      </c>
      <c r="E7" s="33" t="s">
        <v>797</v>
      </c>
      <c r="F7" s="36">
        <v>0.142</v>
      </c>
      <c r="G7" s="36">
        <v>0.03</v>
      </c>
      <c r="H7" s="80">
        <v>0.8</v>
      </c>
      <c r="I7" s="80">
        <v>4.9</v>
      </c>
      <c r="J7" s="80">
        <v>5.9</v>
      </c>
      <c r="K7" s="80">
        <v>8.2</v>
      </c>
      <c r="L7" s="32" t="s">
        <v>798</v>
      </c>
    </row>
    <row r="8" spans="1:12" x14ac:dyDescent="0.25">
      <c r="A8" s="34" t="s">
        <v>799</v>
      </c>
      <c r="B8" s="35" t="s">
        <v>785</v>
      </c>
      <c r="C8" s="35" t="s">
        <v>791</v>
      </c>
      <c r="D8" s="35" t="s">
        <v>792</v>
      </c>
      <c r="E8" s="35" t="s">
        <v>787</v>
      </c>
      <c r="F8" s="82">
        <v>0.096</v>
      </c>
      <c r="G8" s="82">
        <v>0.028999999999999998</v>
      </c>
      <c r="H8" s="83">
        <v>0.9</v>
      </c>
      <c r="I8" s="83">
        <v>9.1</v>
      </c>
      <c r="J8" s="84">
        <v>12</v>
      </c>
      <c r="K8" s="84">
        <v>17.8</v>
      </c>
      <c r="L8" s="34" t="s">
        <v>800</v>
      </c>
    </row>
    <row r="9" spans="1:12" x14ac:dyDescent="0.25">
      <c r="A9" s="32" t="s">
        <v>801</v>
      </c>
      <c r="B9" s="33" t="s">
        <v>785</v>
      </c>
      <c r="C9" s="33" t="s">
        <v>786</v>
      </c>
      <c r="D9" s="33" t="s">
        <v>792</v>
      </c>
      <c r="E9" s="33" t="s">
        <v>787</v>
      </c>
      <c r="F9" s="36">
        <v>0.1</v>
      </c>
      <c r="G9" s="36">
        <v>0.086</v>
      </c>
      <c r="H9" s="80">
        <v>0.8</v>
      </c>
      <c r="I9" s="80">
        <v>7.4</v>
      </c>
      <c r="J9" s="81">
        <v>10.7</v>
      </c>
      <c r="K9" s="81">
        <v>14.6</v>
      </c>
      <c r="L9" s="32" t="s">
        <v>802</v>
      </c>
    </row>
    <row r="10" spans="1:12" x14ac:dyDescent="0.25">
      <c r="A10" s="34" t="s">
        <v>803</v>
      </c>
      <c r="B10" s="35" t="s">
        <v>790</v>
      </c>
      <c r="C10" s="35" t="s">
        <v>791</v>
      </c>
      <c r="D10" s="35" t="s">
        <v>792</v>
      </c>
      <c r="E10" s="35" t="s">
        <v>787</v>
      </c>
      <c r="F10" s="82">
        <v>0.078</v>
      </c>
      <c r="G10" s="82">
        <v>0.017</v>
      </c>
      <c r="H10" s="83">
        <v>0.4</v>
      </c>
      <c r="I10" s="83">
        <v>5.5</v>
      </c>
      <c r="J10" s="83">
        <v>7.6</v>
      </c>
      <c r="K10" s="84">
        <v>16.8</v>
      </c>
      <c r="L10" s="34" t="s">
        <v>804</v>
      </c>
    </row>
    <row r="11" spans="1:12" x14ac:dyDescent="0.25">
      <c r="A11" s="32" t="s">
        <v>805</v>
      </c>
      <c r="B11" s="33" t="s">
        <v>806</v>
      </c>
      <c r="C11" s="33" t="s">
        <v>791</v>
      </c>
      <c r="D11" s="33" t="s">
        <v>792</v>
      </c>
      <c r="E11" s="33" t="s">
        <v>787</v>
      </c>
      <c r="F11" s="36">
        <v>0.055999999999999994</v>
      </c>
      <c r="G11" s="79">
        <v>-0.016</v>
      </c>
      <c r="H11" s="80">
        <v>0.7</v>
      </c>
      <c r="I11" s="80">
        <v>9.3</v>
      </c>
      <c r="J11" s="81">
        <v>14</v>
      </c>
      <c r="K11" s="81">
        <v>21</v>
      </c>
      <c r="L11" s="32" t="s">
        <v>807</v>
      </c>
    </row>
    <row r="12" spans="1:12" x14ac:dyDescent="0.25">
      <c r="A12" s="34" t="s">
        <v>808</v>
      </c>
      <c r="B12" s="35" t="s">
        <v>809</v>
      </c>
      <c r="C12" s="35" t="s">
        <v>791</v>
      </c>
      <c r="D12" s="35" t="s">
        <v>792</v>
      </c>
      <c r="E12" s="35" t="s">
        <v>787</v>
      </c>
      <c r="F12" s="82">
        <v>0.11</v>
      </c>
      <c r="G12" s="82">
        <v>0.079</v>
      </c>
      <c r="H12" s="83">
        <v>0.9</v>
      </c>
      <c r="I12" s="83">
        <v>7</v>
      </c>
      <c r="J12" s="84">
        <v>10</v>
      </c>
      <c r="K12" s="84">
        <v>13.6</v>
      </c>
      <c r="L12" s="34" t="s">
        <v>810</v>
      </c>
    </row>
    <row r="13" spans="1:12" x14ac:dyDescent="0.25">
      <c r="A13" s="32" t="s">
        <v>811</v>
      </c>
      <c r="B13" s="33" t="s">
        <v>785</v>
      </c>
      <c r="C13" s="33" t="s">
        <v>812</v>
      </c>
      <c r="D13" s="33" t="s">
        <v>796</v>
      </c>
      <c r="E13" s="33" t="s">
        <v>797</v>
      </c>
      <c r="F13" s="36">
        <v>0.11800000000000001</v>
      </c>
      <c r="G13" s="36">
        <v>0.07400000000000001</v>
      </c>
      <c r="H13" s="80">
        <v>1.1</v>
      </c>
      <c r="I13" s="80">
        <v>7.5</v>
      </c>
      <c r="J13" s="81">
        <v>11.1</v>
      </c>
      <c r="K13" s="81">
        <v>25.9</v>
      </c>
      <c r="L13" s="32" t="s">
        <v>813</v>
      </c>
    </row>
    <row r="14" spans="1:12" x14ac:dyDescent="0.25">
      <c r="A14" s="34" t="s">
        <v>814</v>
      </c>
      <c r="B14" s="35" t="s">
        <v>806</v>
      </c>
      <c r="C14" s="35" t="s">
        <v>795</v>
      </c>
      <c r="D14" s="35" t="s">
        <v>796</v>
      </c>
      <c r="E14" s="35" t="s">
        <v>797</v>
      </c>
      <c r="F14" s="82">
        <v>0.127</v>
      </c>
      <c r="G14" s="82">
        <v>0.08900000000000001</v>
      </c>
      <c r="H14" s="83">
        <v>1.5</v>
      </c>
      <c r="I14" s="84">
        <v>10.4</v>
      </c>
      <c r="J14" s="84">
        <v>12.8</v>
      </c>
      <c r="K14" s="84">
        <v>10.4</v>
      </c>
      <c r="L14" s="34" t="s">
        <v>815</v>
      </c>
    </row>
    <row r="15" spans="1:1" x14ac:dyDescent="0.25">
      <c r="A15" s="42" t="s">
        <v>816</v>
      </c>
    </row>
    <row r="16" spans="1:1" x14ac:dyDescent="0.25">
      <c r="A16" s="2" t="s">
        <v>817</v>
      </c>
    </row>
    <row r="18" spans="1:1" x14ac:dyDescent="0.25">
      <c r="A18" s="3" t="s">
        <v>818</v>
      </c>
    </row>
    <row r="19" ht="30" customHeight="1" spans="1:6" x14ac:dyDescent="0.25">
      <c r="A19" s="4" t="s">
        <v>819</v>
      </c>
      <c r="B19" s="5" t="s">
        <v>369</v>
      </c>
      <c r="C19" s="5" t="s">
        <v>820</v>
      </c>
      <c r="D19" s="5" t="s">
        <v>821</v>
      </c>
      <c r="E19" s="5" t="s">
        <v>822</v>
      </c>
      <c r="F19" s="5" t="s">
        <v>823</v>
      </c>
    </row>
    <row r="20" spans="1:6" x14ac:dyDescent="0.25">
      <c r="A20" s="32" t="s">
        <v>824</v>
      </c>
      <c r="B20" s="33" t="s">
        <v>825</v>
      </c>
      <c r="C20" s="85">
        <v>11810.87</v>
      </c>
      <c r="D20" s="33" t="s">
        <v>787</v>
      </c>
      <c r="E20" s="33" t="s">
        <v>826</v>
      </c>
      <c r="F20" s="32" t="s">
        <v>827</v>
      </c>
    </row>
    <row r="21" spans="1:6" x14ac:dyDescent="0.25">
      <c r="A21" s="34" t="s">
        <v>828</v>
      </c>
      <c r="B21" s="35" t="s">
        <v>825</v>
      </c>
      <c r="C21" s="86">
        <v>7631</v>
      </c>
      <c r="D21" s="35" t="s">
        <v>787</v>
      </c>
      <c r="E21" s="35" t="s">
        <v>826</v>
      </c>
      <c r="F21" s="34" t="s">
        <v>829</v>
      </c>
    </row>
    <row r="22" spans="1:6" x14ac:dyDescent="0.25">
      <c r="A22" s="32" t="s">
        <v>830</v>
      </c>
      <c r="B22" s="33" t="s">
        <v>831</v>
      </c>
      <c r="C22" s="40">
        <v>2.12</v>
      </c>
      <c r="D22" s="33" t="s">
        <v>787</v>
      </c>
      <c r="E22" s="33" t="s">
        <v>826</v>
      </c>
      <c r="F22" s="33" t="s">
        <v>832</v>
      </c>
    </row>
    <row r="23" spans="1:6" x14ac:dyDescent="0.25">
      <c r="A23" s="34" t="s">
        <v>833</v>
      </c>
      <c r="B23" s="35" t="s">
        <v>825</v>
      </c>
      <c r="C23" s="86">
        <v>174278</v>
      </c>
      <c r="D23" s="35" t="s">
        <v>797</v>
      </c>
      <c r="E23" s="35" t="s">
        <v>834</v>
      </c>
      <c r="F23" s="34" t="s">
        <v>835</v>
      </c>
    </row>
    <row r="24" spans="1:6" x14ac:dyDescent="0.25">
      <c r="A24" s="32" t="s">
        <v>836</v>
      </c>
      <c r="B24" s="33" t="s">
        <v>831</v>
      </c>
      <c r="C24" s="33" t="s">
        <v>202</v>
      </c>
      <c r="D24" s="33" t="s">
        <v>202</v>
      </c>
      <c r="E24" s="33" t="s">
        <v>202</v>
      </c>
      <c r="F24" s="33" t="s">
        <v>837</v>
      </c>
    </row>
    <row r="25" spans="1:6" x14ac:dyDescent="0.25">
      <c r="A25" s="34" t="s">
        <v>838</v>
      </c>
      <c r="B25" s="35" t="s">
        <v>825</v>
      </c>
      <c r="C25" s="35" t="s">
        <v>202</v>
      </c>
      <c r="D25" s="35" t="s">
        <v>202</v>
      </c>
      <c r="E25" s="35" t="s">
        <v>202</v>
      </c>
      <c r="F25" s="35" t="s">
        <v>837</v>
      </c>
    </row>
    <row r="26" spans="1:6" x14ac:dyDescent="0.25">
      <c r="A26" s="32" t="s">
        <v>839</v>
      </c>
      <c r="B26" s="33" t="s">
        <v>831</v>
      </c>
      <c r="C26" s="33" t="s">
        <v>202</v>
      </c>
      <c r="D26" s="33" t="s">
        <v>202</v>
      </c>
      <c r="E26" s="33" t="s">
        <v>202</v>
      </c>
      <c r="F26" s="33" t="s">
        <v>837</v>
      </c>
    </row>
    <row r="27" spans="1:1" x14ac:dyDescent="0.25">
      <c r="A27" s="42" t="s">
        <v>840</v>
      </c>
    </row>
    <row r="28" spans="1:1" x14ac:dyDescent="0.25">
      <c r="A28" s="2" t="s">
        <v>841</v>
      </c>
    </row>
    <row r="30" spans="1:1" x14ac:dyDescent="0.25">
      <c r="A30" s="3" t="s">
        <v>842</v>
      </c>
    </row>
    <row r="31" ht="30" customHeight="1" spans="1:9" x14ac:dyDescent="0.25">
      <c r="A31" s="4" t="s">
        <v>323</v>
      </c>
      <c r="B31" s="5" t="s">
        <v>184</v>
      </c>
      <c r="C31" s="5" t="s">
        <v>183</v>
      </c>
      <c r="D31" s="5" t="s">
        <v>781</v>
      </c>
      <c r="E31" s="5" t="s">
        <v>782</v>
      </c>
      <c r="F31" s="5" t="s">
        <v>843</v>
      </c>
      <c r="G31" s="5" t="s">
        <v>844</v>
      </c>
      <c r="H31" s="5" t="s">
        <v>845</v>
      </c>
      <c r="I31" s="5" t="s">
        <v>846</v>
      </c>
    </row>
    <row r="32" spans="1:9" x14ac:dyDescent="0.25">
      <c r="A32" s="32" t="s">
        <v>326</v>
      </c>
      <c r="B32" s="80">
        <v>0.4</v>
      </c>
      <c r="C32" s="80">
        <v>5.3</v>
      </c>
      <c r="D32" s="80">
        <v>6.6</v>
      </c>
      <c r="E32" s="80">
        <v>4.7</v>
      </c>
      <c r="F32" s="43">
        <v>29.37</v>
      </c>
      <c r="G32" s="43">
        <v>25.42</v>
      </c>
      <c r="H32" s="43">
        <v>18.62</v>
      </c>
      <c r="I32" s="43">
        <v>9.96</v>
      </c>
    </row>
    <row r="33" spans="1:9" x14ac:dyDescent="0.25">
      <c r="A33" s="34" t="s">
        <v>327</v>
      </c>
      <c r="B33" s="83">
        <v>0.45</v>
      </c>
      <c r="C33" s="83">
        <v>5.6</v>
      </c>
      <c r="D33" s="83">
        <v>8.2</v>
      </c>
      <c r="E33" s="84">
        <v>13.4</v>
      </c>
      <c r="F33" s="48">
        <v>34.21</v>
      </c>
      <c r="G33" s="48">
        <v>27.39</v>
      </c>
      <c r="H33" s="48">
        <v>25.4</v>
      </c>
      <c r="I33" s="48">
        <v>28.3</v>
      </c>
    </row>
    <row r="34" spans="1:9" s="17" customFormat="1" x14ac:dyDescent="0.25">
      <c r="A34" s="64" t="s">
        <v>328</v>
      </c>
      <c r="B34" s="87">
        <v>0.66</v>
      </c>
      <c r="C34" s="87">
        <v>7.04</v>
      </c>
      <c r="D34" s="87">
        <v>9.96</v>
      </c>
      <c r="E34" s="88">
        <v>14.5</v>
      </c>
      <c r="F34" s="78">
        <v>54.27</v>
      </c>
      <c r="G34" s="78">
        <v>36.85</v>
      </c>
      <c r="H34" s="78">
        <v>32.85</v>
      </c>
      <c r="I34" s="78">
        <v>30.77</v>
      </c>
    </row>
    <row r="35" spans="1:9" x14ac:dyDescent="0.25">
      <c r="A35" s="34" t="s">
        <v>329</v>
      </c>
      <c r="B35" s="83">
        <v>0.7</v>
      </c>
      <c r="C35" s="83">
        <v>7</v>
      </c>
      <c r="D35" s="84">
        <v>10</v>
      </c>
      <c r="E35" s="84">
        <v>14.6</v>
      </c>
      <c r="F35" s="48">
        <v>58.42</v>
      </c>
      <c r="G35" s="48">
        <v>36.57</v>
      </c>
      <c r="H35" s="48">
        <v>33.04</v>
      </c>
      <c r="I35" s="48">
        <v>30.95</v>
      </c>
    </row>
    <row r="36" spans="1:9" x14ac:dyDescent="0.25">
      <c r="A36" s="32" t="s">
        <v>330</v>
      </c>
      <c r="B36" s="80">
        <v>0.85</v>
      </c>
      <c r="C36" s="80">
        <v>8.25</v>
      </c>
      <c r="D36" s="81">
        <v>11.4</v>
      </c>
      <c r="E36" s="81">
        <v>17.3</v>
      </c>
      <c r="F36" s="43">
        <v>72.94</v>
      </c>
      <c r="G36" s="43">
        <v>44.77</v>
      </c>
      <c r="H36" s="43">
        <v>38.76</v>
      </c>
      <c r="I36" s="43">
        <v>36.68</v>
      </c>
    </row>
    <row r="37" spans="1:9" x14ac:dyDescent="0.25">
      <c r="A37" s="34" t="s">
        <v>331</v>
      </c>
      <c r="B37" s="83">
        <v>0.9</v>
      </c>
      <c r="C37" s="83">
        <v>9.3</v>
      </c>
      <c r="D37" s="84">
        <v>14</v>
      </c>
      <c r="E37" s="84">
        <v>21</v>
      </c>
      <c r="F37" s="48">
        <v>77.78</v>
      </c>
      <c r="G37" s="48">
        <v>51.66</v>
      </c>
      <c r="H37" s="48">
        <v>49.99</v>
      </c>
      <c r="I37" s="48">
        <v>44.52</v>
      </c>
    </row>
    <row r="38" spans="1:9" x14ac:dyDescent="0.25">
      <c r="A38" s="32" t="s">
        <v>332</v>
      </c>
      <c r="B38" s="55">
        <v>7</v>
      </c>
      <c r="C38" s="55">
        <v>7</v>
      </c>
      <c r="D38" s="55">
        <v>7</v>
      </c>
      <c r="E38" s="55">
        <v>7</v>
      </c>
      <c r="F38" s="33" t="s">
        <v>442</v>
      </c>
      <c r="G38" s="33" t="s">
        <v>442</v>
      </c>
      <c r="H38" s="33" t="s">
        <v>442</v>
      </c>
      <c r="I38" s="33" t="s">
        <v>442</v>
      </c>
    </row>
    <row r="39" spans="1:1" x14ac:dyDescent="0.25">
      <c r="A39" s="42" t="s">
        <v>847</v>
      </c>
    </row>
    <row r="40" spans="1:1" x14ac:dyDescent="0.25">
      <c r="A40" s="2" t="s">
        <v>848</v>
      </c>
    </row>
    <row r="42" spans="1:1" x14ac:dyDescent="0.25">
      <c r="A42" s="3" t="s">
        <v>849</v>
      </c>
    </row>
    <row r="43" ht="30" customHeight="1" spans="1:5" x14ac:dyDescent="0.25">
      <c r="A43" s="4" t="s">
        <v>850</v>
      </c>
      <c r="B43" s="5" t="s">
        <v>184</v>
      </c>
      <c r="C43" s="5" t="s">
        <v>183</v>
      </c>
      <c r="D43" s="5" t="s">
        <v>781</v>
      </c>
      <c r="E43" s="5" t="s">
        <v>782</v>
      </c>
    </row>
    <row r="44" spans="1:5" x14ac:dyDescent="0.25">
      <c r="A44" s="32" t="s">
        <v>851</v>
      </c>
      <c r="B44" s="85">
        <v>174278</v>
      </c>
      <c r="C44" s="85">
        <v>11810.87</v>
      </c>
      <c r="D44" s="85">
        <v>7631</v>
      </c>
      <c r="E44" s="40">
        <v>2.12</v>
      </c>
    </row>
    <row r="45" spans="1:5" x14ac:dyDescent="0.25">
      <c r="A45" s="34" t="s">
        <v>852</v>
      </c>
      <c r="B45" s="69">
        <v>114525.5</v>
      </c>
      <c r="C45" s="69">
        <v>83182.3</v>
      </c>
      <c r="D45" s="69">
        <v>75983</v>
      </c>
      <c r="E45" s="35" t="s">
        <v>853</v>
      </c>
    </row>
    <row r="46" spans="1:5" x14ac:dyDescent="0.25">
      <c r="A46" s="32" t="s">
        <v>854</v>
      </c>
      <c r="B46" s="73">
        <v>-16845.2</v>
      </c>
      <c r="C46" s="73">
        <v>-16845.2</v>
      </c>
      <c r="D46" s="73">
        <v>-16845.2</v>
      </c>
      <c r="E46" s="33" t="s">
        <v>386</v>
      </c>
    </row>
    <row r="47" spans="1:5" s="17" customFormat="1" x14ac:dyDescent="0.25">
      <c r="A47" s="44" t="s">
        <v>855</v>
      </c>
      <c r="B47" s="54">
        <v>97680.3</v>
      </c>
      <c r="C47" s="54">
        <v>66337.1</v>
      </c>
      <c r="D47" s="54">
        <v>59137.8</v>
      </c>
      <c r="E47" s="54">
        <v>55386.5</v>
      </c>
    </row>
    <row r="48" spans="1:5" s="17" customFormat="1" x14ac:dyDescent="0.25">
      <c r="A48" s="64" t="s">
        <v>856</v>
      </c>
      <c r="B48" s="78">
        <v>54.27</v>
      </c>
      <c r="C48" s="78">
        <v>36.85</v>
      </c>
      <c r="D48" s="78">
        <v>32.85</v>
      </c>
      <c r="E48" s="78">
        <v>30.77</v>
      </c>
    </row>
    <row r="49" spans="1:1" x14ac:dyDescent="0.25">
      <c r="A49" s="42" t="s">
        <v>857</v>
      </c>
    </row>
    <row r="50" spans="1:1" x14ac:dyDescent="0.25">
      <c r="A50" s="2" t="s">
        <v>772</v>
      </c>
    </row>
    <row r="52" spans="1:1" x14ac:dyDescent="0.25">
      <c r="A52" s="3" t="s">
        <v>858</v>
      </c>
    </row>
    <row r="53" ht="30" customHeight="1" spans="1:3" x14ac:dyDescent="0.25">
      <c r="A53" s="4" t="s">
        <v>647</v>
      </c>
      <c r="B53" s="5" t="s">
        <v>22</v>
      </c>
      <c r="C53" s="5" t="s">
        <v>340</v>
      </c>
    </row>
    <row r="54" spans="1:3" x14ac:dyDescent="0.25">
      <c r="A54" s="32" t="s">
        <v>859</v>
      </c>
      <c r="B54" s="53">
        <v>174278</v>
      </c>
      <c r="C54" s="33" t="s">
        <v>860</v>
      </c>
    </row>
    <row r="55" spans="1:3" x14ac:dyDescent="0.25">
      <c r="A55" s="34" t="s">
        <v>861</v>
      </c>
      <c r="B55" s="69">
        <v>7631</v>
      </c>
      <c r="C55" s="35" t="s">
        <v>862</v>
      </c>
    </row>
    <row r="56" spans="1:3" x14ac:dyDescent="0.25">
      <c r="A56" s="32" t="s">
        <v>863</v>
      </c>
      <c r="B56" s="53">
        <v>11810.9</v>
      </c>
      <c r="C56" s="33" t="s">
        <v>864</v>
      </c>
    </row>
    <row r="57" spans="1:3" x14ac:dyDescent="0.25">
      <c r="A57" s="34" t="s">
        <v>865</v>
      </c>
      <c r="B57" s="60">
        <v>2.12</v>
      </c>
      <c r="C57" s="35" t="s">
        <v>866</v>
      </c>
    </row>
    <row r="58" spans="1:3" x14ac:dyDescent="0.25">
      <c r="A58" s="32" t="s">
        <v>867</v>
      </c>
      <c r="B58" s="53">
        <v>1800</v>
      </c>
      <c r="C58" s="33" t="s">
        <v>868</v>
      </c>
    </row>
    <row r="59" spans="1:3" x14ac:dyDescent="0.25">
      <c r="A59" s="34" t="s">
        <v>759</v>
      </c>
      <c r="B59" s="69">
        <v>6875.4</v>
      </c>
      <c r="C59" s="35" t="s">
        <v>869</v>
      </c>
    </row>
    <row r="60" spans="1:3" x14ac:dyDescent="0.25">
      <c r="A60" s="32" t="s">
        <v>757</v>
      </c>
      <c r="B60" s="53">
        <v>-11500</v>
      </c>
      <c r="C60" s="33" t="s">
        <v>870</v>
      </c>
    </row>
    <row r="61" spans="1:3" x14ac:dyDescent="0.25">
      <c r="A61" s="34" t="s">
        <v>871</v>
      </c>
      <c r="B61" s="69">
        <v>-12220.6</v>
      </c>
      <c r="C61" s="35" t="s">
        <v>872</v>
      </c>
    </row>
    <row r="62" spans="1:3" x14ac:dyDescent="0.25">
      <c r="A62" s="32" t="s">
        <v>873</v>
      </c>
      <c r="B62" s="77">
        <v>0</v>
      </c>
      <c r="C62" s="33" t="s">
        <v>442</v>
      </c>
    </row>
    <row r="63" spans="1:3" x14ac:dyDescent="0.25">
      <c r="A63" s="34" t="s">
        <v>874</v>
      </c>
      <c r="B63" s="75">
        <v>0</v>
      </c>
      <c r="C63" s="35" t="s">
        <v>442</v>
      </c>
    </row>
    <row r="64" spans="1:3" s="17" customFormat="1" x14ac:dyDescent="0.25">
      <c r="A64" s="64" t="s">
        <v>875</v>
      </c>
      <c r="B64" s="89">
        <v>-16845.2</v>
      </c>
      <c r="C64" s="64" t="s">
        <v>876</v>
      </c>
    </row>
    <row r="65" spans="1:1" x14ac:dyDescent="0.25">
      <c r="A65" s="42" t="s">
        <v>877</v>
      </c>
    </row>
    <row r="66" spans="1:1" x14ac:dyDescent="0.25">
      <c r="A66" s="2" t="s">
        <v>878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4"/>
  <sheetFormatPr defaultRowHeight="15" outlineLevelRow="0" outlineLevelCol="0" x14ac:dyDescent="55"/>
  <cols>
    <col min="1" max="1" width="44" customWidth="1"/>
    <col min="2" max="11" width="14" customWidth="1"/>
  </cols>
  <sheetData>
    <row r="1" spans="1:1" x14ac:dyDescent="0.25">
      <c r="A1" s="1" t="s">
        <v>879</v>
      </c>
    </row>
    <row r="2" spans="1:1" x14ac:dyDescent="0.25">
      <c r="A2" s="2" t="s">
        <v>352</v>
      </c>
    </row>
    <row r="3" spans="1:1" x14ac:dyDescent="0.25">
      <c r="A3" s="3" t="s">
        <v>880</v>
      </c>
    </row>
    <row r="4" ht="30" customHeight="1" spans="1:3" x14ac:dyDescent="0.25">
      <c r="A4" s="4" t="s">
        <v>850</v>
      </c>
      <c r="B4" s="5" t="s">
        <v>881</v>
      </c>
      <c r="C4" s="5" t="s">
        <v>882</v>
      </c>
    </row>
    <row r="5" spans="1:3" x14ac:dyDescent="0.25">
      <c r="A5" s="32" t="s">
        <v>883</v>
      </c>
      <c r="B5" s="32" t="s">
        <v>884</v>
      </c>
      <c r="C5" s="32" t="s">
        <v>885</v>
      </c>
    </row>
    <row r="6" spans="1:3" x14ac:dyDescent="0.25">
      <c r="A6" s="34" t="s">
        <v>886</v>
      </c>
      <c r="B6" s="34" t="s">
        <v>887</v>
      </c>
      <c r="C6" s="34" t="s">
        <v>888</v>
      </c>
    </row>
    <row r="7" spans="1:3" x14ac:dyDescent="0.25">
      <c r="A7" s="32" t="s">
        <v>889</v>
      </c>
      <c r="B7" s="32" t="s">
        <v>890</v>
      </c>
      <c r="C7" s="32" t="s">
        <v>891</v>
      </c>
    </row>
    <row r="8" spans="1:3" x14ac:dyDescent="0.25">
      <c r="A8" s="34" t="s">
        <v>892</v>
      </c>
      <c r="B8" s="34" t="s">
        <v>893</v>
      </c>
      <c r="C8" s="34" t="s">
        <v>894</v>
      </c>
    </row>
    <row r="9" spans="1:3" x14ac:dyDescent="0.25">
      <c r="A9" s="32" t="s">
        <v>895</v>
      </c>
      <c r="B9" s="32" t="s">
        <v>896</v>
      </c>
      <c r="C9" s="33" t="s">
        <v>897</v>
      </c>
    </row>
    <row r="10" spans="1:3" x14ac:dyDescent="0.25">
      <c r="A10" s="34" t="s">
        <v>898</v>
      </c>
      <c r="B10" s="34" t="s">
        <v>899</v>
      </c>
      <c r="C10" s="35" t="s">
        <v>900</v>
      </c>
    </row>
    <row r="11" spans="1:3" x14ac:dyDescent="0.25">
      <c r="A11" s="32" t="s">
        <v>187</v>
      </c>
      <c r="B11" s="32" t="s">
        <v>901</v>
      </c>
      <c r="C11" s="33" t="s">
        <v>902</v>
      </c>
    </row>
    <row r="12" spans="1:3" x14ac:dyDescent="0.25">
      <c r="A12" s="34" t="s">
        <v>903</v>
      </c>
      <c r="B12" s="34" t="s">
        <v>904</v>
      </c>
      <c r="C12" s="35" t="s">
        <v>905</v>
      </c>
    </row>
    <row r="13" spans="1:3" x14ac:dyDescent="0.25">
      <c r="A13" s="32" t="s">
        <v>684</v>
      </c>
      <c r="B13" s="33" t="s">
        <v>906</v>
      </c>
      <c r="C13" s="32" t="s">
        <v>907</v>
      </c>
    </row>
    <row r="14" spans="1:1" x14ac:dyDescent="0.25">
      <c r="A14" s="42" t="s">
        <v>908</v>
      </c>
    </row>
    <row r="15" spans="1:1" x14ac:dyDescent="0.25">
      <c r="A15" s="2" t="s">
        <v>909</v>
      </c>
    </row>
    <row r="17" spans="1:1" x14ac:dyDescent="0.25">
      <c r="A17" s="3" t="s">
        <v>910</v>
      </c>
    </row>
    <row r="18" ht="30" customHeight="1" spans="1:11" x14ac:dyDescent="0.25">
      <c r="A18" s="4" t="s">
        <v>173</v>
      </c>
      <c r="B18" s="5" t="s">
        <v>175</v>
      </c>
      <c r="C18" s="5" t="s">
        <v>775</v>
      </c>
      <c r="D18" s="5" t="s">
        <v>177</v>
      </c>
      <c r="E18" s="5" t="s">
        <v>180</v>
      </c>
      <c r="F18" s="5" t="s">
        <v>181</v>
      </c>
      <c r="G18" s="5" t="s">
        <v>182</v>
      </c>
      <c r="H18" s="5" t="s">
        <v>183</v>
      </c>
      <c r="I18" s="5" t="s">
        <v>184</v>
      </c>
      <c r="J18" s="5" t="s">
        <v>185</v>
      </c>
      <c r="K18" s="5" t="s">
        <v>911</v>
      </c>
    </row>
    <row r="19" spans="1:11" s="17" customFormat="1" x14ac:dyDescent="0.25">
      <c r="A19" s="64" t="s">
        <v>195</v>
      </c>
      <c r="B19" s="72" t="s">
        <v>197</v>
      </c>
      <c r="C19" s="72" t="s">
        <v>198</v>
      </c>
      <c r="D19" s="72" t="s">
        <v>199</v>
      </c>
      <c r="E19" s="74">
        <v>1020</v>
      </c>
      <c r="F19" s="74">
        <v>1744.5</v>
      </c>
      <c r="G19" s="90">
        <v>32238</v>
      </c>
      <c r="H19" s="87">
        <v>4.98</v>
      </c>
      <c r="I19" s="87">
        <v>0.34</v>
      </c>
      <c r="J19" s="72" t="s">
        <v>202</v>
      </c>
      <c r="K19" s="72" t="s">
        <v>912</v>
      </c>
    </row>
    <row r="20" spans="1:11" s="17" customFormat="1" x14ac:dyDescent="0.25">
      <c r="A20" s="44" t="s">
        <v>207</v>
      </c>
      <c r="B20" s="47" t="s">
        <v>209</v>
      </c>
      <c r="C20" s="47" t="s">
        <v>210</v>
      </c>
      <c r="D20" s="47" t="s">
        <v>211</v>
      </c>
      <c r="E20" s="54">
        <v>1703.4</v>
      </c>
      <c r="F20" s="54">
        <v>1711.7</v>
      </c>
      <c r="G20" s="91">
        <v>31632</v>
      </c>
      <c r="H20" s="92">
        <v>21.3</v>
      </c>
      <c r="I20" s="93">
        <v>0.69</v>
      </c>
      <c r="J20" s="47" t="s">
        <v>202</v>
      </c>
      <c r="K20" s="47" t="s">
        <v>912</v>
      </c>
    </row>
    <row r="21" spans="1:11" s="17" customFormat="1" x14ac:dyDescent="0.25">
      <c r="A21" s="64" t="s">
        <v>215</v>
      </c>
      <c r="B21" s="72" t="s">
        <v>217</v>
      </c>
      <c r="C21" s="72" t="s">
        <v>218</v>
      </c>
      <c r="D21" s="72" t="s">
        <v>219</v>
      </c>
      <c r="E21" s="74">
        <v>3339.6</v>
      </c>
      <c r="F21" s="74">
        <v>11027.1</v>
      </c>
      <c r="G21" s="90">
        <v>203780</v>
      </c>
      <c r="H21" s="87">
        <v>3.24</v>
      </c>
      <c r="I21" s="87">
        <v>0.9</v>
      </c>
      <c r="J21" s="88">
        <v>13.7</v>
      </c>
      <c r="K21" s="72" t="s">
        <v>912</v>
      </c>
    </row>
    <row r="22" spans="1:11" s="17" customFormat="1" x14ac:dyDescent="0.25">
      <c r="A22" s="44" t="s">
        <v>221</v>
      </c>
      <c r="B22" s="47" t="s">
        <v>223</v>
      </c>
      <c r="C22" s="47" t="s">
        <v>218</v>
      </c>
      <c r="D22" s="47" t="s">
        <v>224</v>
      </c>
      <c r="E22" s="94">
        <v>234.3</v>
      </c>
      <c r="F22" s="94">
        <v>700.3</v>
      </c>
      <c r="G22" s="91">
        <v>12941</v>
      </c>
      <c r="H22" s="93">
        <v>7.64</v>
      </c>
      <c r="I22" s="93">
        <v>0.28</v>
      </c>
      <c r="J22" s="92">
        <v>18.5</v>
      </c>
      <c r="K22" s="47" t="s">
        <v>912</v>
      </c>
    </row>
    <row r="23" spans="1:11" s="17" customFormat="1" x14ac:dyDescent="0.25">
      <c r="A23" s="64" t="s">
        <v>226</v>
      </c>
      <c r="B23" s="72" t="s">
        <v>228</v>
      </c>
      <c r="C23" s="72" t="s">
        <v>229</v>
      </c>
      <c r="D23" s="64" t="s">
        <v>230</v>
      </c>
      <c r="E23" s="95">
        <v>889.3</v>
      </c>
      <c r="F23" s="74">
        <v>5614.1</v>
      </c>
      <c r="G23" s="90">
        <v>103748</v>
      </c>
      <c r="H23" s="88">
        <v>12.8</v>
      </c>
      <c r="I23" s="87">
        <v>0.53</v>
      </c>
      <c r="J23" s="72" t="s">
        <v>202</v>
      </c>
      <c r="K23" s="72" t="s">
        <v>912</v>
      </c>
    </row>
    <row r="24" spans="1:11" s="17" customFormat="1" x14ac:dyDescent="0.25">
      <c r="A24" s="44" t="s">
        <v>232</v>
      </c>
      <c r="B24" s="47" t="s">
        <v>234</v>
      </c>
      <c r="C24" s="47" t="s">
        <v>235</v>
      </c>
      <c r="D24" s="47" t="s">
        <v>236</v>
      </c>
      <c r="E24" s="54">
        <v>1333.8</v>
      </c>
      <c r="F24" s="94">
        <v>824.1</v>
      </c>
      <c r="G24" s="91">
        <v>15229</v>
      </c>
      <c r="H24" s="93">
        <v>2.2</v>
      </c>
      <c r="I24" s="93">
        <v>0.08</v>
      </c>
      <c r="J24" s="47" t="s">
        <v>202</v>
      </c>
      <c r="K24" s="47" t="s">
        <v>912</v>
      </c>
    </row>
    <row r="25" spans="1:11" s="17" customFormat="1" x14ac:dyDescent="0.25">
      <c r="A25" s="64" t="s">
        <v>238</v>
      </c>
      <c r="B25" s="72" t="s">
        <v>240</v>
      </c>
      <c r="C25" s="72" t="s">
        <v>241</v>
      </c>
      <c r="D25" s="72" t="s">
        <v>242</v>
      </c>
      <c r="E25" s="95">
        <v>294.1</v>
      </c>
      <c r="F25" s="74">
        <v>5048.6</v>
      </c>
      <c r="G25" s="90">
        <v>93298</v>
      </c>
      <c r="H25" s="87">
        <v>5.11</v>
      </c>
      <c r="I25" s="87">
        <v>0.16</v>
      </c>
      <c r="J25" s="72" t="s">
        <v>202</v>
      </c>
      <c r="K25" s="72" t="s">
        <v>912</v>
      </c>
    </row>
    <row r="26" spans="1:11" s="17" customFormat="1" x14ac:dyDescent="0.25">
      <c r="A26" s="44" t="s">
        <v>244</v>
      </c>
      <c r="B26" s="47" t="s">
        <v>246</v>
      </c>
      <c r="C26" s="47" t="s">
        <v>218</v>
      </c>
      <c r="D26" s="47" t="s">
        <v>247</v>
      </c>
      <c r="E26" s="54">
        <v>2536.7</v>
      </c>
      <c r="F26" s="54">
        <v>2552.4</v>
      </c>
      <c r="G26" s="91">
        <v>47168</v>
      </c>
      <c r="H26" s="47" t="s">
        <v>202</v>
      </c>
      <c r="I26" s="93">
        <v>0.69</v>
      </c>
      <c r="J26" s="93">
        <v>3.88</v>
      </c>
      <c r="K26" s="47" t="s">
        <v>912</v>
      </c>
    </row>
    <row r="27" spans="1:11" s="17" customFormat="1" x14ac:dyDescent="0.25">
      <c r="A27" s="64" t="s">
        <v>249</v>
      </c>
      <c r="B27" s="72" t="s">
        <v>251</v>
      </c>
      <c r="C27" s="72" t="s">
        <v>229</v>
      </c>
      <c r="D27" s="72" t="s">
        <v>252</v>
      </c>
      <c r="E27" s="95">
        <v>182.3</v>
      </c>
      <c r="F27" s="95">
        <v>957.3</v>
      </c>
      <c r="G27" s="90">
        <v>17692</v>
      </c>
      <c r="H27" s="87">
        <v>4.97</v>
      </c>
      <c r="I27" s="87">
        <v>0.67</v>
      </c>
      <c r="J27" s="88">
        <v>13.4</v>
      </c>
      <c r="K27" s="72" t="s">
        <v>912</v>
      </c>
    </row>
    <row r="28" spans="1:11" x14ac:dyDescent="0.25">
      <c r="A28" s="34" t="s">
        <v>254</v>
      </c>
      <c r="B28" s="35" t="s">
        <v>256</v>
      </c>
      <c r="C28" s="35" t="s">
        <v>218</v>
      </c>
      <c r="D28" s="35" t="s">
        <v>254</v>
      </c>
      <c r="E28" s="75">
        <v>747.1</v>
      </c>
      <c r="F28" s="69">
        <v>23898.3</v>
      </c>
      <c r="G28" s="96">
        <v>441640</v>
      </c>
      <c r="H28" s="83">
        <v>3.36</v>
      </c>
      <c r="I28" s="83">
        <v>0.31</v>
      </c>
      <c r="J28" s="84">
        <v>11.1</v>
      </c>
      <c r="K28" s="35" t="s">
        <v>913</v>
      </c>
    </row>
    <row r="29" spans="1:11" x14ac:dyDescent="0.25">
      <c r="A29" s="32" t="s">
        <v>259</v>
      </c>
      <c r="B29" s="33" t="s">
        <v>261</v>
      </c>
      <c r="C29" s="33" t="s">
        <v>262</v>
      </c>
      <c r="D29" s="33" t="s">
        <v>259</v>
      </c>
      <c r="E29" s="77">
        <v>395.5</v>
      </c>
      <c r="F29" s="53">
        <v>25430.6</v>
      </c>
      <c r="G29" s="97">
        <v>469957</v>
      </c>
      <c r="H29" s="80">
        <v>5.16</v>
      </c>
      <c r="I29" s="80">
        <v>0.28</v>
      </c>
      <c r="J29" s="81">
        <v>11.6</v>
      </c>
      <c r="K29" s="33" t="s">
        <v>913</v>
      </c>
    </row>
    <row r="30" spans="1:11" x14ac:dyDescent="0.25">
      <c r="A30" s="34" t="s">
        <v>254</v>
      </c>
      <c r="B30" s="35" t="s">
        <v>264</v>
      </c>
      <c r="C30" s="35" t="s">
        <v>218</v>
      </c>
      <c r="D30" s="35" t="s">
        <v>254</v>
      </c>
      <c r="E30" s="69">
        <v>4101.7</v>
      </c>
      <c r="F30" s="69">
        <v>57481.8</v>
      </c>
      <c r="G30" s="96">
        <v>1062264</v>
      </c>
      <c r="H30" s="83">
        <v>8.74</v>
      </c>
      <c r="I30" s="83">
        <v>0.78</v>
      </c>
      <c r="J30" s="84">
        <v>17.4</v>
      </c>
      <c r="K30" s="35" t="s">
        <v>913</v>
      </c>
    </row>
    <row r="31" spans="1:11" x14ac:dyDescent="0.25">
      <c r="A31" s="32" t="s">
        <v>265</v>
      </c>
      <c r="B31" s="33" t="s">
        <v>267</v>
      </c>
      <c r="C31" s="33" t="s">
        <v>268</v>
      </c>
      <c r="D31" s="33" t="s">
        <v>265</v>
      </c>
      <c r="E31" s="77">
        <v>120.9</v>
      </c>
      <c r="F31" s="53">
        <v>13917.3</v>
      </c>
      <c r="G31" s="97">
        <v>257191</v>
      </c>
      <c r="H31" s="80">
        <v>4.71</v>
      </c>
      <c r="I31" s="80">
        <v>0.32</v>
      </c>
      <c r="J31" s="81">
        <v>17.5</v>
      </c>
      <c r="K31" s="33" t="s">
        <v>913</v>
      </c>
    </row>
    <row r="32" spans="1:11" x14ac:dyDescent="0.25">
      <c r="A32" s="34" t="s">
        <v>269</v>
      </c>
      <c r="B32" s="35" t="s">
        <v>271</v>
      </c>
      <c r="C32" s="35" t="s">
        <v>218</v>
      </c>
      <c r="D32" s="35" t="s">
        <v>269</v>
      </c>
      <c r="E32" s="69">
        <v>2412.7</v>
      </c>
      <c r="F32" s="69">
        <v>2864.3</v>
      </c>
      <c r="G32" s="96">
        <v>52932</v>
      </c>
      <c r="H32" s="84">
        <v>10.7</v>
      </c>
      <c r="I32" s="83">
        <v>0.73</v>
      </c>
      <c r="J32" s="84">
        <v>20.8</v>
      </c>
      <c r="K32" s="35" t="s">
        <v>913</v>
      </c>
    </row>
    <row r="33" spans="1:11" x14ac:dyDescent="0.25">
      <c r="A33" s="32" t="s">
        <v>273</v>
      </c>
      <c r="B33" s="33" t="s">
        <v>275</v>
      </c>
      <c r="C33" s="33" t="s">
        <v>276</v>
      </c>
      <c r="D33" s="33" t="s">
        <v>273</v>
      </c>
      <c r="E33" s="77">
        <v>180.4</v>
      </c>
      <c r="F33" s="53">
        <v>7977.5</v>
      </c>
      <c r="G33" s="97">
        <v>147424</v>
      </c>
      <c r="H33" s="80">
        <v>3.63</v>
      </c>
      <c r="I33" s="80">
        <v>0.32</v>
      </c>
      <c r="J33" s="80">
        <v>6.67</v>
      </c>
      <c r="K33" s="33" t="s">
        <v>913</v>
      </c>
    </row>
    <row r="34" spans="1:11" x14ac:dyDescent="0.25">
      <c r="A34" s="34" t="s">
        <v>278</v>
      </c>
      <c r="B34" s="35" t="s">
        <v>280</v>
      </c>
      <c r="C34" s="35" t="s">
        <v>276</v>
      </c>
      <c r="D34" s="35" t="s">
        <v>281</v>
      </c>
      <c r="E34" s="75">
        <v>361.7</v>
      </c>
      <c r="F34" s="75">
        <v>478.1</v>
      </c>
      <c r="G34" s="96">
        <v>8835</v>
      </c>
      <c r="H34" s="35" t="s">
        <v>202</v>
      </c>
      <c r="I34" s="83">
        <v>0.45</v>
      </c>
      <c r="J34" s="84">
        <v>44.8</v>
      </c>
      <c r="K34" s="35" t="s">
        <v>913</v>
      </c>
    </row>
    <row r="35" spans="1:11" x14ac:dyDescent="0.25">
      <c r="A35" s="32" t="s">
        <v>283</v>
      </c>
      <c r="B35" s="33" t="s">
        <v>285</v>
      </c>
      <c r="C35" s="33" t="s">
        <v>229</v>
      </c>
      <c r="D35" s="33" t="s">
        <v>286</v>
      </c>
      <c r="E35" s="77">
        <v>345.7</v>
      </c>
      <c r="F35" s="53">
        <v>2318.3</v>
      </c>
      <c r="G35" s="97">
        <v>42841</v>
      </c>
      <c r="H35" s="81">
        <v>46</v>
      </c>
      <c r="I35" s="80">
        <v>5.64</v>
      </c>
      <c r="J35" s="33" t="s">
        <v>202</v>
      </c>
      <c r="K35" s="33" t="s">
        <v>913</v>
      </c>
    </row>
    <row r="36" spans="1:11" x14ac:dyDescent="0.25">
      <c r="A36" s="34" t="s">
        <v>288</v>
      </c>
      <c r="B36" s="35" t="s">
        <v>290</v>
      </c>
      <c r="C36" s="35" t="s">
        <v>291</v>
      </c>
      <c r="D36" s="35" t="s">
        <v>292</v>
      </c>
      <c r="E36" s="75">
        <v>200</v>
      </c>
      <c r="F36" s="69">
        <v>2951.1</v>
      </c>
      <c r="G36" s="96">
        <v>54537</v>
      </c>
      <c r="H36" s="84">
        <v>323.1</v>
      </c>
      <c r="I36" s="83">
        <v>2.45</v>
      </c>
      <c r="J36" s="35" t="s">
        <v>202</v>
      </c>
      <c r="K36" s="35" t="s">
        <v>913</v>
      </c>
    </row>
    <row r="37" spans="1:11" x14ac:dyDescent="0.25">
      <c r="A37" s="32" t="s">
        <v>294</v>
      </c>
      <c r="B37" s="33" t="s">
        <v>296</v>
      </c>
      <c r="C37" s="33" t="s">
        <v>262</v>
      </c>
      <c r="D37" s="33" t="s">
        <v>297</v>
      </c>
      <c r="E37" s="53">
        <v>1727.5</v>
      </c>
      <c r="F37" s="53">
        <v>2464.1</v>
      </c>
      <c r="G37" s="97">
        <v>45537</v>
      </c>
      <c r="H37" s="33" t="s">
        <v>202</v>
      </c>
      <c r="I37" s="81">
        <v>44.5</v>
      </c>
      <c r="J37" s="81">
        <v>33.8</v>
      </c>
      <c r="K37" s="33" t="s">
        <v>913</v>
      </c>
    </row>
    <row r="38" spans="1:11" x14ac:dyDescent="0.25">
      <c r="A38" s="34" t="s">
        <v>300</v>
      </c>
      <c r="B38" s="35" t="s">
        <v>302</v>
      </c>
      <c r="C38" s="35" t="s">
        <v>218</v>
      </c>
      <c r="D38" s="35" t="s">
        <v>303</v>
      </c>
      <c r="E38" s="75">
        <v>170.1</v>
      </c>
      <c r="F38" s="75">
        <v>463.8</v>
      </c>
      <c r="G38" s="96">
        <v>8570</v>
      </c>
      <c r="H38" s="84">
        <v>10.3</v>
      </c>
      <c r="I38" s="83">
        <v>0.24</v>
      </c>
      <c r="J38" s="35" t="s">
        <v>202</v>
      </c>
      <c r="K38" s="35" t="s">
        <v>913</v>
      </c>
    </row>
    <row r="39" spans="1:11" x14ac:dyDescent="0.25">
      <c r="A39" s="32" t="s">
        <v>305</v>
      </c>
      <c r="B39" s="33" t="s">
        <v>307</v>
      </c>
      <c r="C39" s="33" t="s">
        <v>262</v>
      </c>
      <c r="D39" s="33" t="s">
        <v>286</v>
      </c>
      <c r="E39" s="53">
        <v>1347.2</v>
      </c>
      <c r="F39" s="53">
        <v>12843.1</v>
      </c>
      <c r="G39" s="97">
        <v>237341</v>
      </c>
      <c r="H39" s="80">
        <v>6.38</v>
      </c>
      <c r="I39" s="80">
        <v>0.4</v>
      </c>
      <c r="J39" s="33" t="s">
        <v>202</v>
      </c>
      <c r="K39" s="33" t="s">
        <v>913</v>
      </c>
    </row>
    <row r="40" spans="1:11" x14ac:dyDescent="0.25">
      <c r="A40" s="34" t="s">
        <v>310</v>
      </c>
      <c r="B40" s="35" t="s">
        <v>312</v>
      </c>
      <c r="C40" s="35" t="s">
        <v>313</v>
      </c>
      <c r="D40" s="35" t="s">
        <v>314</v>
      </c>
      <c r="E40" s="75">
        <v>186</v>
      </c>
      <c r="F40" s="75">
        <v>186.2</v>
      </c>
      <c r="G40" s="96">
        <v>3440</v>
      </c>
      <c r="H40" s="84">
        <v>46.8</v>
      </c>
      <c r="I40" s="83">
        <v>0.29</v>
      </c>
      <c r="J40" s="35" t="s">
        <v>202</v>
      </c>
      <c r="K40" s="35" t="s">
        <v>913</v>
      </c>
    </row>
    <row r="41" spans="1:11" x14ac:dyDescent="0.25">
      <c r="A41" s="32" t="s">
        <v>316</v>
      </c>
      <c r="B41" s="33" t="s">
        <v>246</v>
      </c>
      <c r="C41" s="33" t="s">
        <v>318</v>
      </c>
      <c r="D41" s="33" t="s">
        <v>319</v>
      </c>
      <c r="E41" s="53">
        <v>1381.1</v>
      </c>
      <c r="F41" s="33" t="s">
        <v>202</v>
      </c>
      <c r="G41" s="33" t="s">
        <v>202</v>
      </c>
      <c r="H41" s="33" t="s">
        <v>202</v>
      </c>
      <c r="I41" s="33" t="s">
        <v>202</v>
      </c>
      <c r="J41" s="81">
        <v>27.8</v>
      </c>
      <c r="K41" s="33" t="s">
        <v>913</v>
      </c>
    </row>
    <row r="42" spans="1:1" x14ac:dyDescent="0.25">
      <c r="A42" s="2" t="s">
        <v>914</v>
      </c>
    </row>
    <row r="44" spans="1:1" x14ac:dyDescent="0.25">
      <c r="A44" s="3" t="s">
        <v>915</v>
      </c>
    </row>
    <row r="45" ht="30" customHeight="1" spans="1:5" x14ac:dyDescent="0.25">
      <c r="A45" s="4" t="s">
        <v>173</v>
      </c>
      <c r="B45" s="5" t="s">
        <v>187</v>
      </c>
      <c r="C45" s="5" t="s">
        <v>916</v>
      </c>
      <c r="D45" s="5" t="s">
        <v>190</v>
      </c>
      <c r="E45" s="5" t="s">
        <v>194</v>
      </c>
    </row>
    <row r="46" spans="1:5" x14ac:dyDescent="0.25">
      <c r="A46" s="32" t="s">
        <v>254</v>
      </c>
      <c r="B46" s="33" t="s">
        <v>203</v>
      </c>
      <c r="C46" s="33" t="s">
        <v>203</v>
      </c>
      <c r="D46" s="33" t="s">
        <v>203</v>
      </c>
      <c r="E46" s="32" t="s">
        <v>258</v>
      </c>
    </row>
    <row r="47" spans="1:5" x14ac:dyDescent="0.25">
      <c r="A47" s="34" t="s">
        <v>259</v>
      </c>
      <c r="B47" s="35" t="s">
        <v>203</v>
      </c>
      <c r="C47" s="35" t="s">
        <v>203</v>
      </c>
      <c r="D47" s="35" t="s">
        <v>203</v>
      </c>
      <c r="E47" s="34" t="s">
        <v>258</v>
      </c>
    </row>
    <row r="48" spans="1:5" x14ac:dyDescent="0.25">
      <c r="A48" s="32" t="s">
        <v>254</v>
      </c>
      <c r="B48" s="33" t="s">
        <v>203</v>
      </c>
      <c r="C48" s="33" t="s">
        <v>203</v>
      </c>
      <c r="D48" s="33" t="s">
        <v>203</v>
      </c>
      <c r="E48" s="32" t="s">
        <v>258</v>
      </c>
    </row>
    <row r="49" spans="1:5" x14ac:dyDescent="0.25">
      <c r="A49" s="34" t="s">
        <v>265</v>
      </c>
      <c r="B49" s="35" t="s">
        <v>203</v>
      </c>
      <c r="C49" s="35" t="s">
        <v>203</v>
      </c>
      <c r="D49" s="35" t="s">
        <v>203</v>
      </c>
      <c r="E49" s="34" t="s">
        <v>258</v>
      </c>
    </row>
    <row r="50" spans="1:5" x14ac:dyDescent="0.25">
      <c r="A50" s="32" t="s">
        <v>269</v>
      </c>
      <c r="B50" s="33" t="s">
        <v>203</v>
      </c>
      <c r="C50" s="33" t="s">
        <v>203</v>
      </c>
      <c r="D50" s="33" t="s">
        <v>203</v>
      </c>
      <c r="E50" s="32" t="s">
        <v>272</v>
      </c>
    </row>
    <row r="51" spans="1:5" x14ac:dyDescent="0.25">
      <c r="A51" s="34" t="s">
        <v>273</v>
      </c>
      <c r="B51" s="35" t="s">
        <v>203</v>
      </c>
      <c r="C51" s="35" t="s">
        <v>203</v>
      </c>
      <c r="D51" s="35" t="s">
        <v>203</v>
      </c>
      <c r="E51" s="34" t="s">
        <v>277</v>
      </c>
    </row>
    <row r="52" spans="1:5" x14ac:dyDescent="0.25">
      <c r="A52" s="32" t="s">
        <v>278</v>
      </c>
      <c r="B52" s="33" t="s">
        <v>203</v>
      </c>
      <c r="C52" s="33" t="s">
        <v>203</v>
      </c>
      <c r="D52" s="33" t="s">
        <v>204</v>
      </c>
      <c r="E52" s="32" t="s">
        <v>282</v>
      </c>
    </row>
    <row r="53" spans="1:5" x14ac:dyDescent="0.25">
      <c r="A53" s="34" t="s">
        <v>283</v>
      </c>
      <c r="B53" s="35" t="s">
        <v>203</v>
      </c>
      <c r="C53" s="35" t="s">
        <v>203</v>
      </c>
      <c r="D53" s="35" t="s">
        <v>204</v>
      </c>
      <c r="E53" s="34" t="s">
        <v>287</v>
      </c>
    </row>
    <row r="54" spans="1:5" x14ac:dyDescent="0.25">
      <c r="A54" s="32" t="s">
        <v>288</v>
      </c>
      <c r="B54" s="33" t="s">
        <v>203</v>
      </c>
      <c r="C54" s="33" t="s">
        <v>203</v>
      </c>
      <c r="D54" s="33" t="s">
        <v>204</v>
      </c>
      <c r="E54" s="32" t="s">
        <v>293</v>
      </c>
    </row>
    <row r="55" spans="1:5" x14ac:dyDescent="0.25">
      <c r="A55" s="34" t="s">
        <v>294</v>
      </c>
      <c r="B55" s="35" t="s">
        <v>203</v>
      </c>
      <c r="C55" s="35" t="s">
        <v>203</v>
      </c>
      <c r="D55" s="35" t="s">
        <v>204</v>
      </c>
      <c r="E55" s="34" t="s">
        <v>299</v>
      </c>
    </row>
    <row r="56" spans="1:5" x14ac:dyDescent="0.25">
      <c r="A56" s="32" t="s">
        <v>300</v>
      </c>
      <c r="B56" s="33" t="s">
        <v>204</v>
      </c>
      <c r="C56" s="33" t="s">
        <v>203</v>
      </c>
      <c r="D56" s="33" t="s">
        <v>204</v>
      </c>
      <c r="E56" s="33" t="s">
        <v>304</v>
      </c>
    </row>
    <row r="57" spans="1:5" x14ac:dyDescent="0.25">
      <c r="A57" s="34" t="s">
        <v>305</v>
      </c>
      <c r="B57" s="35" t="s">
        <v>204</v>
      </c>
      <c r="C57" s="35" t="s">
        <v>203</v>
      </c>
      <c r="D57" s="35" t="s">
        <v>204</v>
      </c>
      <c r="E57" s="34" t="s">
        <v>309</v>
      </c>
    </row>
    <row r="58" spans="1:5" x14ac:dyDescent="0.25">
      <c r="A58" s="32" t="s">
        <v>310</v>
      </c>
      <c r="B58" s="33" t="s">
        <v>204</v>
      </c>
      <c r="C58" s="33" t="s">
        <v>203</v>
      </c>
      <c r="D58" s="33" t="s">
        <v>204</v>
      </c>
      <c r="E58" s="32" t="s">
        <v>315</v>
      </c>
    </row>
    <row r="59" spans="1:5" x14ac:dyDescent="0.25">
      <c r="A59" s="34" t="s">
        <v>316</v>
      </c>
      <c r="B59" s="35" t="s">
        <v>203</v>
      </c>
      <c r="C59" s="35" t="s">
        <v>204</v>
      </c>
      <c r="D59" s="35" t="s">
        <v>204</v>
      </c>
      <c r="E59" s="35" t="s">
        <v>321</v>
      </c>
    </row>
    <row r="60" spans="1:1" x14ac:dyDescent="0.25">
      <c r="A60" s="2" t="s">
        <v>917</v>
      </c>
    </row>
    <row r="62" spans="1:1" x14ac:dyDescent="0.25">
      <c r="A62" s="3" t="s">
        <v>918</v>
      </c>
    </row>
    <row r="63" ht="30" customHeight="1" spans="1:6" x14ac:dyDescent="0.25">
      <c r="A63" s="4" t="s">
        <v>323</v>
      </c>
      <c r="B63" s="5" t="s">
        <v>183</v>
      </c>
      <c r="C63" s="5" t="s">
        <v>184</v>
      </c>
      <c r="D63" s="5" t="s">
        <v>185</v>
      </c>
      <c r="E63" s="5" t="s">
        <v>919</v>
      </c>
      <c r="F63" s="5" t="s">
        <v>920</v>
      </c>
    </row>
    <row r="64" spans="1:6" x14ac:dyDescent="0.25">
      <c r="A64" s="32" t="s">
        <v>326</v>
      </c>
      <c r="B64" s="80">
        <v>2.2</v>
      </c>
      <c r="C64" s="80">
        <v>0.08</v>
      </c>
      <c r="D64" s="80">
        <v>3.88</v>
      </c>
      <c r="E64" s="43">
        <v>5.08</v>
      </c>
      <c r="F64" s="33" t="s">
        <v>921</v>
      </c>
    </row>
    <row r="65" spans="1:6" x14ac:dyDescent="0.25">
      <c r="A65" s="34" t="s">
        <v>327</v>
      </c>
      <c r="B65" s="83">
        <v>4.54</v>
      </c>
      <c r="C65" s="83">
        <v>0.28</v>
      </c>
      <c r="D65" s="84">
        <v>11</v>
      </c>
      <c r="E65" s="48">
        <v>20.41</v>
      </c>
      <c r="F65" s="48">
        <v>17.75</v>
      </c>
    </row>
    <row r="66" spans="1:6" x14ac:dyDescent="0.25">
      <c r="A66" s="32" t="s">
        <v>328</v>
      </c>
      <c r="B66" s="80">
        <v>7.78</v>
      </c>
      <c r="C66" s="80">
        <v>0.48</v>
      </c>
      <c r="D66" s="81">
        <v>12.4</v>
      </c>
      <c r="E66" s="43">
        <v>41.67</v>
      </c>
      <c r="F66" s="43">
        <v>37.33</v>
      </c>
    </row>
    <row r="67" spans="1:6" s="17" customFormat="1" x14ac:dyDescent="0.25">
      <c r="A67" s="44" t="s">
        <v>329</v>
      </c>
      <c r="B67" s="93">
        <v>5.05</v>
      </c>
      <c r="C67" s="93">
        <v>0.53</v>
      </c>
      <c r="D67" s="92">
        <v>13.6</v>
      </c>
      <c r="E67" s="46">
        <v>23.74</v>
      </c>
      <c r="F67" s="46">
        <v>41.96</v>
      </c>
    </row>
    <row r="68" spans="1:6" x14ac:dyDescent="0.25">
      <c r="A68" s="32" t="s">
        <v>330</v>
      </c>
      <c r="B68" s="80">
        <v>8.92</v>
      </c>
      <c r="C68" s="80">
        <v>0.69</v>
      </c>
      <c r="D68" s="81">
        <v>14.9</v>
      </c>
      <c r="E68" s="43">
        <v>49.19</v>
      </c>
      <c r="F68" s="43">
        <v>57.45</v>
      </c>
    </row>
    <row r="69" spans="1:6" x14ac:dyDescent="0.25">
      <c r="A69" s="34" t="s">
        <v>331</v>
      </c>
      <c r="B69" s="84">
        <v>21.3</v>
      </c>
      <c r="C69" s="83">
        <v>0.9</v>
      </c>
      <c r="D69" s="84">
        <v>18.5</v>
      </c>
      <c r="E69" s="48">
        <v>130.47</v>
      </c>
      <c r="F69" s="48">
        <v>77.78</v>
      </c>
    </row>
    <row r="70" spans="1:6" x14ac:dyDescent="0.25">
      <c r="A70" s="32" t="s">
        <v>332</v>
      </c>
      <c r="B70" s="55">
        <v>8</v>
      </c>
      <c r="C70" s="55">
        <v>9</v>
      </c>
      <c r="D70" s="55">
        <v>4</v>
      </c>
      <c r="E70" s="33" t="s">
        <v>442</v>
      </c>
      <c r="F70" s="33" t="s">
        <v>442</v>
      </c>
    </row>
    <row r="71" spans="1:6" x14ac:dyDescent="0.25">
      <c r="A71" s="34" t="s">
        <v>922</v>
      </c>
      <c r="B71" s="35" t="s">
        <v>923</v>
      </c>
      <c r="C71" s="35" t="s">
        <v>924</v>
      </c>
      <c r="D71" s="35" t="s">
        <v>925</v>
      </c>
      <c r="E71" s="35" t="s">
        <v>442</v>
      </c>
      <c r="F71" s="35" t="s">
        <v>442</v>
      </c>
    </row>
    <row r="72" spans="1:6" x14ac:dyDescent="0.25">
      <c r="A72" s="32" t="s">
        <v>926</v>
      </c>
      <c r="B72" s="55">
        <v>1</v>
      </c>
      <c r="C72" s="55">
        <v>0</v>
      </c>
      <c r="D72" s="55">
        <v>1</v>
      </c>
      <c r="E72" s="33" t="s">
        <v>442</v>
      </c>
      <c r="F72" s="33" t="s">
        <v>442</v>
      </c>
    </row>
    <row r="73" spans="1:6" x14ac:dyDescent="0.25">
      <c r="A73" s="34" t="s">
        <v>927</v>
      </c>
      <c r="B73" s="83">
        <v>5.84</v>
      </c>
      <c r="C73" s="83">
        <v>0.48</v>
      </c>
      <c r="D73" s="84">
        <v>15.2</v>
      </c>
      <c r="E73" s="48">
        <v>28.99</v>
      </c>
      <c r="F73" s="35" t="s">
        <v>442</v>
      </c>
    </row>
    <row r="74" spans="1:6" x14ac:dyDescent="0.25">
      <c r="A74" s="32" t="s">
        <v>928</v>
      </c>
      <c r="B74" s="80">
        <v>4.98</v>
      </c>
      <c r="C74" s="80">
        <v>0.53</v>
      </c>
      <c r="D74" s="81">
        <v>13.7</v>
      </c>
      <c r="E74" s="43">
        <v>23.32</v>
      </c>
      <c r="F74" s="33" t="s">
        <v>442</v>
      </c>
    </row>
    <row r="75" spans="1:1" x14ac:dyDescent="0.25">
      <c r="A75" s="42" t="s">
        <v>929</v>
      </c>
    </row>
    <row r="76" spans="1:1" x14ac:dyDescent="0.25">
      <c r="A76" s="2" t="s">
        <v>930</v>
      </c>
    </row>
    <row r="78" spans="1:1" x14ac:dyDescent="0.25">
      <c r="A78" s="3" t="s">
        <v>931</v>
      </c>
    </row>
    <row r="79" ht="30" customHeight="1" spans="1:7" x14ac:dyDescent="0.25">
      <c r="A79" s="4" t="s">
        <v>932</v>
      </c>
      <c r="B79" s="5" t="s">
        <v>332</v>
      </c>
      <c r="C79" s="5" t="s">
        <v>933</v>
      </c>
      <c r="D79" s="5" t="s">
        <v>934</v>
      </c>
      <c r="E79" s="5" t="s">
        <v>927</v>
      </c>
      <c r="F79" s="5" t="s">
        <v>935</v>
      </c>
      <c r="G79" s="5" t="s">
        <v>936</v>
      </c>
    </row>
    <row r="80" spans="1:7" s="17" customFormat="1" x14ac:dyDescent="0.25">
      <c r="A80" s="64" t="s">
        <v>937</v>
      </c>
      <c r="B80" s="98">
        <v>8</v>
      </c>
      <c r="C80" s="87">
        <v>5.05</v>
      </c>
      <c r="D80" s="78">
        <v>23.74</v>
      </c>
      <c r="E80" s="87">
        <v>5.84</v>
      </c>
      <c r="F80" s="78">
        <v>28.99</v>
      </c>
      <c r="G80" s="72" t="s">
        <v>386</v>
      </c>
    </row>
    <row r="81" spans="1:7" x14ac:dyDescent="0.25">
      <c r="A81" s="34" t="s">
        <v>938</v>
      </c>
      <c r="B81" s="59">
        <v>7</v>
      </c>
      <c r="C81" s="83">
        <v>5.11</v>
      </c>
      <c r="D81" s="48">
        <v>24.17</v>
      </c>
      <c r="E81" s="83">
        <v>6.45</v>
      </c>
      <c r="F81" s="48">
        <v>32.97</v>
      </c>
      <c r="G81" s="35" t="s">
        <v>232</v>
      </c>
    </row>
    <row r="82" spans="1:7" x14ac:dyDescent="0.25">
      <c r="A82" s="32" t="s">
        <v>939</v>
      </c>
      <c r="B82" s="55">
        <v>6</v>
      </c>
      <c r="C82" s="80">
        <v>5.05</v>
      </c>
      <c r="D82" s="43">
        <v>23.74</v>
      </c>
      <c r="E82" s="80">
        <v>4.98</v>
      </c>
      <c r="F82" s="43">
        <v>23.32</v>
      </c>
      <c r="G82" s="33" t="s">
        <v>940</v>
      </c>
    </row>
    <row r="83" spans="1:7" x14ac:dyDescent="0.25">
      <c r="A83" s="34" t="s">
        <v>941</v>
      </c>
      <c r="B83" s="59">
        <v>7</v>
      </c>
      <c r="C83" s="83">
        <v>5.11</v>
      </c>
      <c r="D83" s="48">
        <v>24.17</v>
      </c>
      <c r="E83" s="83">
        <v>5.99</v>
      </c>
      <c r="F83" s="48">
        <v>29.95</v>
      </c>
      <c r="G83" s="35" t="s">
        <v>249</v>
      </c>
    </row>
    <row r="84" spans="1:1" x14ac:dyDescent="0.25">
      <c r="A84" s="42" t="s">
        <v>942</v>
      </c>
    </row>
    <row r="85" spans="1:1" x14ac:dyDescent="0.25">
      <c r="A85" s="2" t="s">
        <v>943</v>
      </c>
    </row>
    <row r="87" spans="1:1" x14ac:dyDescent="0.25">
      <c r="A87" s="3" t="s">
        <v>944</v>
      </c>
    </row>
    <row r="88" ht="30" customHeight="1" spans="1:9" x14ac:dyDescent="0.25">
      <c r="A88" s="4" t="s">
        <v>173</v>
      </c>
      <c r="B88" s="5" t="s">
        <v>357</v>
      </c>
      <c r="C88" s="5" t="s">
        <v>177</v>
      </c>
      <c r="D88" s="5" t="s">
        <v>775</v>
      </c>
      <c r="E88" s="5" t="s">
        <v>945</v>
      </c>
      <c r="F88" s="5" t="s">
        <v>184</v>
      </c>
      <c r="G88" s="5" t="s">
        <v>183</v>
      </c>
      <c r="H88" s="5" t="s">
        <v>946</v>
      </c>
      <c r="I88" s="5" t="s">
        <v>947</v>
      </c>
    </row>
    <row r="89" spans="1:9" x14ac:dyDescent="0.25">
      <c r="A89" s="32" t="s">
        <v>948</v>
      </c>
      <c r="B89" s="33" t="s">
        <v>197</v>
      </c>
      <c r="C89" s="33" t="s">
        <v>949</v>
      </c>
      <c r="D89" s="33" t="s">
        <v>198</v>
      </c>
      <c r="E89" s="53">
        <v>56675.3</v>
      </c>
      <c r="F89" s="80">
        <v>0.3</v>
      </c>
      <c r="G89" s="80">
        <v>5.2</v>
      </c>
      <c r="H89" s="33" t="s">
        <v>203</v>
      </c>
      <c r="I89" s="32" t="s">
        <v>950</v>
      </c>
    </row>
    <row r="90" spans="1:9" x14ac:dyDescent="0.25">
      <c r="A90" s="34" t="s">
        <v>951</v>
      </c>
      <c r="B90" s="35" t="s">
        <v>952</v>
      </c>
      <c r="C90" s="35" t="s">
        <v>953</v>
      </c>
      <c r="D90" s="35" t="s">
        <v>954</v>
      </c>
      <c r="E90" s="69">
        <v>116983.8</v>
      </c>
      <c r="F90" s="83">
        <v>1.5</v>
      </c>
      <c r="G90" s="84">
        <v>11.4</v>
      </c>
      <c r="H90" s="35" t="s">
        <v>204</v>
      </c>
      <c r="I90" s="34" t="s">
        <v>955</v>
      </c>
    </row>
    <row r="91" spans="1:9" x14ac:dyDescent="0.25">
      <c r="A91" s="32" t="s">
        <v>948</v>
      </c>
      <c r="B91" s="33" t="s">
        <v>956</v>
      </c>
      <c r="C91" s="33" t="s">
        <v>957</v>
      </c>
      <c r="D91" s="33" t="s">
        <v>198</v>
      </c>
      <c r="E91" s="53">
        <v>56675.3</v>
      </c>
      <c r="F91" s="80">
        <v>0.4</v>
      </c>
      <c r="G91" s="80">
        <v>6.3</v>
      </c>
      <c r="H91" s="33" t="s">
        <v>204</v>
      </c>
      <c r="I91" s="32" t="s">
        <v>958</v>
      </c>
    </row>
    <row r="92" spans="1:9" s="17" customFormat="1" x14ac:dyDescent="0.25">
      <c r="A92" s="44" t="s">
        <v>959</v>
      </c>
      <c r="B92" s="47" t="s">
        <v>442</v>
      </c>
      <c r="C92" s="47" t="s">
        <v>442</v>
      </c>
      <c r="D92" s="47" t="s">
        <v>442</v>
      </c>
      <c r="E92" s="47" t="s">
        <v>442</v>
      </c>
      <c r="F92" s="47" t="s">
        <v>442</v>
      </c>
      <c r="G92" s="93">
        <v>7.63</v>
      </c>
      <c r="H92" s="47" t="s">
        <v>442</v>
      </c>
      <c r="I92" s="44" t="s">
        <v>960</v>
      </c>
    </row>
    <row r="93" spans="1:1" x14ac:dyDescent="0.25">
      <c r="A93" s="42" t="s">
        <v>961</v>
      </c>
    </row>
    <row r="94" spans="1:1" x14ac:dyDescent="0.25">
      <c r="A94" s="2" t="s">
        <v>962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FormatPr defaultRowHeight="15" outlineLevelRow="0" outlineLevelCol="0" x14ac:dyDescent="55"/>
  <cols>
    <col min="1" max="1" width="44" customWidth="1"/>
    <col min="2" max="11" width="14" customWidth="1"/>
  </cols>
  <sheetData>
    <row r="1" spans="1:1" x14ac:dyDescent="0.25">
      <c r="A1" s="1" t="s">
        <v>963</v>
      </c>
    </row>
    <row r="2" spans="1:1" x14ac:dyDescent="0.25">
      <c r="A2" s="2" t="s">
        <v>352</v>
      </c>
    </row>
    <row r="3" spans="1:1" x14ac:dyDescent="0.25">
      <c r="A3" s="3" t="s">
        <v>964</v>
      </c>
    </row>
    <row r="4" ht="30" customHeight="1" spans="1:11" x14ac:dyDescent="0.25">
      <c r="A4" s="4" t="s">
        <v>52</v>
      </c>
      <c r="B4" s="5" t="s">
        <v>336</v>
      </c>
      <c r="C4" s="5" t="s">
        <v>357</v>
      </c>
      <c r="D4" s="5" t="s">
        <v>337</v>
      </c>
      <c r="E4" s="5" t="s">
        <v>965</v>
      </c>
      <c r="F4" s="5" t="s">
        <v>966</v>
      </c>
      <c r="G4" s="5" t="s">
        <v>967</v>
      </c>
      <c r="H4" s="5" t="s">
        <v>968</v>
      </c>
      <c r="I4" s="5" t="s">
        <v>969</v>
      </c>
      <c r="J4" s="5" t="s">
        <v>970</v>
      </c>
      <c r="K4" s="5" t="s">
        <v>971</v>
      </c>
    </row>
    <row r="5" spans="1:11" x14ac:dyDescent="0.25">
      <c r="A5" s="32" t="s">
        <v>972</v>
      </c>
      <c r="B5" s="32" t="s">
        <v>973</v>
      </c>
      <c r="C5" s="33" t="s">
        <v>9</v>
      </c>
      <c r="D5" s="43">
        <v>38.34</v>
      </c>
      <c r="E5" s="33" t="s">
        <v>974</v>
      </c>
      <c r="F5" s="33" t="s">
        <v>975</v>
      </c>
      <c r="G5" s="79">
        <v>0.145</v>
      </c>
      <c r="H5" s="33" t="s">
        <v>976</v>
      </c>
      <c r="I5" s="32" t="s">
        <v>977</v>
      </c>
      <c r="J5" s="32" t="s">
        <v>978</v>
      </c>
      <c r="K5" s="33" t="s">
        <v>386</v>
      </c>
    </row>
    <row r="6" spans="1:11" x14ac:dyDescent="0.25">
      <c r="A6" s="34" t="s">
        <v>972</v>
      </c>
      <c r="B6" s="34" t="s">
        <v>979</v>
      </c>
      <c r="C6" s="35" t="s">
        <v>417</v>
      </c>
      <c r="D6" s="48">
        <v>33.49</v>
      </c>
      <c r="E6" s="35" t="s">
        <v>980</v>
      </c>
      <c r="F6" s="35" t="s">
        <v>975</v>
      </c>
      <c r="G6" s="99">
        <v>0</v>
      </c>
      <c r="H6" s="35" t="s">
        <v>976</v>
      </c>
      <c r="I6" s="34" t="s">
        <v>981</v>
      </c>
      <c r="J6" s="34" t="s">
        <v>982</v>
      </c>
      <c r="K6" s="35" t="s">
        <v>386</v>
      </c>
    </row>
    <row r="7" spans="1:11" x14ac:dyDescent="0.25">
      <c r="A7" s="32" t="s">
        <v>972</v>
      </c>
      <c r="B7" s="32" t="s">
        <v>983</v>
      </c>
      <c r="C7" s="33" t="s">
        <v>433</v>
      </c>
      <c r="D7" s="43">
        <v>23.74</v>
      </c>
      <c r="E7" s="33" t="s">
        <v>984</v>
      </c>
      <c r="F7" s="33" t="s">
        <v>975</v>
      </c>
      <c r="G7" s="79">
        <v>-0.29100000000000004</v>
      </c>
      <c r="H7" s="33" t="s">
        <v>985</v>
      </c>
      <c r="I7" s="33" t="s">
        <v>986</v>
      </c>
      <c r="J7" s="32" t="s">
        <v>987</v>
      </c>
      <c r="K7" s="33" t="s">
        <v>386</v>
      </c>
    </row>
    <row r="8" spans="1:11" x14ac:dyDescent="0.25">
      <c r="A8" s="34" t="s">
        <v>972</v>
      </c>
      <c r="B8" s="34" t="s">
        <v>988</v>
      </c>
      <c r="C8" s="35" t="s">
        <v>386</v>
      </c>
      <c r="D8" s="48">
        <v>40.73</v>
      </c>
      <c r="E8" s="35" t="s">
        <v>989</v>
      </c>
      <c r="F8" s="35" t="s">
        <v>975</v>
      </c>
      <c r="G8" s="99">
        <v>0.21600000000000003</v>
      </c>
      <c r="H8" s="35" t="s">
        <v>990</v>
      </c>
      <c r="I8" s="35" t="s">
        <v>991</v>
      </c>
      <c r="J8" s="34" t="s">
        <v>992</v>
      </c>
      <c r="K8" s="35" t="s">
        <v>386</v>
      </c>
    </row>
    <row r="9" spans="1:11" x14ac:dyDescent="0.25">
      <c r="A9" s="32" t="s">
        <v>972</v>
      </c>
      <c r="B9" s="32" t="s">
        <v>993</v>
      </c>
      <c r="C9" s="33" t="s">
        <v>9</v>
      </c>
      <c r="D9" s="43">
        <v>35.92</v>
      </c>
      <c r="E9" s="33" t="s">
        <v>386</v>
      </c>
      <c r="F9" s="33" t="s">
        <v>975</v>
      </c>
      <c r="G9" s="79">
        <v>0.073</v>
      </c>
      <c r="H9" s="33" t="s">
        <v>994</v>
      </c>
      <c r="I9" s="33" t="s">
        <v>995</v>
      </c>
      <c r="J9" s="33" t="s">
        <v>386</v>
      </c>
      <c r="K9" s="33" t="s">
        <v>386</v>
      </c>
    </row>
    <row r="10" spans="1:11" x14ac:dyDescent="0.25">
      <c r="A10" s="34" t="s">
        <v>996</v>
      </c>
      <c r="B10" s="35" t="s">
        <v>341</v>
      </c>
      <c r="C10" s="35" t="s">
        <v>373</v>
      </c>
      <c r="D10" s="48">
        <v>39.21</v>
      </c>
      <c r="E10" s="35" t="s">
        <v>997</v>
      </c>
      <c r="F10" s="35" t="s">
        <v>998</v>
      </c>
      <c r="G10" s="99">
        <v>0.185</v>
      </c>
      <c r="H10" s="35" t="s">
        <v>999</v>
      </c>
      <c r="I10" s="34" t="s">
        <v>1000</v>
      </c>
      <c r="J10" s="34" t="s">
        <v>1001</v>
      </c>
      <c r="K10" s="35" t="s">
        <v>1002</v>
      </c>
    </row>
    <row r="11" spans="1:11" x14ac:dyDescent="0.25">
      <c r="A11" s="32" t="s">
        <v>1003</v>
      </c>
      <c r="B11" s="32" t="s">
        <v>1004</v>
      </c>
      <c r="C11" s="33" t="s">
        <v>373</v>
      </c>
      <c r="D11" s="43">
        <v>36.35</v>
      </c>
      <c r="E11" s="33" t="s">
        <v>386</v>
      </c>
      <c r="F11" s="33" t="s">
        <v>998</v>
      </c>
      <c r="G11" s="79">
        <v>0.098</v>
      </c>
      <c r="H11" s="33" t="s">
        <v>204</v>
      </c>
      <c r="I11" s="33" t="s">
        <v>995</v>
      </c>
      <c r="J11" s="33" t="s">
        <v>1005</v>
      </c>
      <c r="K11" s="55">
        <v>8</v>
      </c>
    </row>
    <row r="12" spans="1:11" x14ac:dyDescent="0.25">
      <c r="A12" s="34" t="s">
        <v>1006</v>
      </c>
      <c r="B12" s="35" t="s">
        <v>341</v>
      </c>
      <c r="C12" s="35" t="s">
        <v>9</v>
      </c>
      <c r="D12" s="48">
        <v>31.16</v>
      </c>
      <c r="E12" s="35" t="s">
        <v>1007</v>
      </c>
      <c r="F12" s="35" t="s">
        <v>975</v>
      </c>
      <c r="G12" s="99">
        <v>-0.069</v>
      </c>
      <c r="H12" s="35" t="s">
        <v>990</v>
      </c>
      <c r="I12" s="34" t="s">
        <v>1008</v>
      </c>
      <c r="J12" s="34" t="s">
        <v>1009</v>
      </c>
      <c r="K12" s="59">
        <v>9</v>
      </c>
    </row>
    <row r="13" spans="1:11" x14ac:dyDescent="0.25">
      <c r="A13" s="32" t="s">
        <v>1010</v>
      </c>
      <c r="B13" s="33" t="s">
        <v>1011</v>
      </c>
      <c r="C13" s="33" t="s">
        <v>433</v>
      </c>
      <c r="D13" s="43">
        <v>38.27</v>
      </c>
      <c r="E13" s="33" t="s">
        <v>1012</v>
      </c>
      <c r="F13" s="33" t="s">
        <v>998</v>
      </c>
      <c r="G13" s="79">
        <v>0.156</v>
      </c>
      <c r="H13" s="33" t="s">
        <v>204</v>
      </c>
      <c r="I13" s="32" t="s">
        <v>1013</v>
      </c>
      <c r="J13" s="33" t="s">
        <v>1014</v>
      </c>
      <c r="K13" s="33" t="s">
        <v>1015</v>
      </c>
    </row>
    <row r="14" spans="1:11" x14ac:dyDescent="0.25">
      <c r="A14" s="34" t="s">
        <v>463</v>
      </c>
      <c r="B14" s="34" t="s">
        <v>1016</v>
      </c>
      <c r="C14" s="35" t="s">
        <v>433</v>
      </c>
      <c r="D14" s="48">
        <v>29.7</v>
      </c>
      <c r="E14" s="35" t="s">
        <v>1017</v>
      </c>
      <c r="F14" s="35" t="s">
        <v>998</v>
      </c>
      <c r="G14" s="99">
        <v>-0.10300000000000001</v>
      </c>
      <c r="H14" s="35" t="s">
        <v>204</v>
      </c>
      <c r="I14" s="34" t="s">
        <v>1018</v>
      </c>
      <c r="J14" s="34" t="s">
        <v>1019</v>
      </c>
      <c r="K14" s="59">
        <v>15</v>
      </c>
    </row>
    <row r="15" spans="1:11" x14ac:dyDescent="0.25">
      <c r="A15" s="32" t="s">
        <v>463</v>
      </c>
      <c r="B15" s="33" t="s">
        <v>1020</v>
      </c>
      <c r="C15" s="33" t="s">
        <v>433</v>
      </c>
      <c r="D15" s="43">
        <v>28.54</v>
      </c>
      <c r="E15" s="33" t="s">
        <v>1021</v>
      </c>
      <c r="F15" s="33" t="s">
        <v>998</v>
      </c>
      <c r="G15" s="79">
        <v>-0.138</v>
      </c>
      <c r="H15" s="33" t="s">
        <v>204</v>
      </c>
      <c r="I15" s="33" t="s">
        <v>1022</v>
      </c>
      <c r="J15" s="32" t="s">
        <v>1023</v>
      </c>
      <c r="K15" s="55">
        <v>16</v>
      </c>
    </row>
    <row r="16" spans="1:11" x14ac:dyDescent="0.25">
      <c r="A16" s="34" t="s">
        <v>463</v>
      </c>
      <c r="B16" s="34" t="s">
        <v>1024</v>
      </c>
      <c r="C16" s="35" t="s">
        <v>433</v>
      </c>
      <c r="D16" s="48">
        <v>33.98</v>
      </c>
      <c r="E16" s="35" t="s">
        <v>386</v>
      </c>
      <c r="F16" s="35" t="s">
        <v>998</v>
      </c>
      <c r="G16" s="99">
        <v>0.027000000000000003</v>
      </c>
      <c r="H16" s="35" t="s">
        <v>204</v>
      </c>
      <c r="I16" s="35" t="s">
        <v>1025</v>
      </c>
      <c r="J16" s="35" t="s">
        <v>1026</v>
      </c>
      <c r="K16" s="59">
        <v>17</v>
      </c>
    </row>
    <row r="17" spans="1:11" x14ac:dyDescent="0.25">
      <c r="A17" s="32" t="s">
        <v>463</v>
      </c>
      <c r="B17" s="32" t="s">
        <v>1027</v>
      </c>
      <c r="C17" s="33" t="s">
        <v>433</v>
      </c>
      <c r="D17" s="43">
        <v>23.36</v>
      </c>
      <c r="E17" s="33" t="s">
        <v>1028</v>
      </c>
      <c r="F17" s="33" t="s">
        <v>998</v>
      </c>
      <c r="G17" s="79">
        <v>-0.294</v>
      </c>
      <c r="H17" s="33" t="s">
        <v>204</v>
      </c>
      <c r="I17" s="32" t="s">
        <v>1029</v>
      </c>
      <c r="J17" s="32" t="s">
        <v>1030</v>
      </c>
      <c r="K17" s="55">
        <v>11</v>
      </c>
    </row>
    <row r="18" spans="1:11" x14ac:dyDescent="0.25">
      <c r="A18" s="34" t="s">
        <v>1031</v>
      </c>
      <c r="B18" s="34" t="s">
        <v>1027</v>
      </c>
      <c r="C18" s="35" t="s">
        <v>433</v>
      </c>
      <c r="D18" s="48">
        <v>22.42</v>
      </c>
      <c r="E18" s="35" t="s">
        <v>386</v>
      </c>
      <c r="F18" s="35" t="s">
        <v>998</v>
      </c>
      <c r="G18" s="99">
        <v>-0.32299999999999995</v>
      </c>
      <c r="H18" s="35" t="s">
        <v>204</v>
      </c>
      <c r="I18" s="34" t="s">
        <v>1032</v>
      </c>
      <c r="J18" s="34" t="s">
        <v>1033</v>
      </c>
      <c r="K18" s="59">
        <v>18</v>
      </c>
    </row>
    <row r="19" spans="1:11" x14ac:dyDescent="0.25">
      <c r="A19" s="32" t="s">
        <v>1034</v>
      </c>
      <c r="B19" s="33" t="s">
        <v>1035</v>
      </c>
      <c r="C19" s="33" t="s">
        <v>433</v>
      </c>
      <c r="D19" s="43">
        <v>51</v>
      </c>
      <c r="E19" s="33" t="s">
        <v>1036</v>
      </c>
      <c r="F19" s="33" t="s">
        <v>998</v>
      </c>
      <c r="G19" s="79">
        <v>0.541</v>
      </c>
      <c r="H19" s="33" t="s">
        <v>204</v>
      </c>
      <c r="I19" s="32" t="s">
        <v>1037</v>
      </c>
      <c r="J19" s="32" t="s">
        <v>1038</v>
      </c>
      <c r="K19" s="33" t="s">
        <v>1039</v>
      </c>
    </row>
    <row r="20" spans="1:1" x14ac:dyDescent="0.25">
      <c r="A20" s="42" t="s">
        <v>1040</v>
      </c>
    </row>
    <row r="21" spans="1:1" x14ac:dyDescent="0.25">
      <c r="A21" s="2" t="s">
        <v>1041</v>
      </c>
    </row>
    <row r="23" spans="1:1" x14ac:dyDescent="0.25">
      <c r="A23" s="3" t="s">
        <v>1042</v>
      </c>
    </row>
    <row r="24" ht="30" customHeight="1" spans="1:5" x14ac:dyDescent="0.25">
      <c r="A24" s="4" t="s">
        <v>1043</v>
      </c>
      <c r="B24" s="5" t="s">
        <v>1044</v>
      </c>
      <c r="C24" s="5" t="s">
        <v>1045</v>
      </c>
      <c r="D24" s="5" t="s">
        <v>1046</v>
      </c>
      <c r="E24" s="5" t="s">
        <v>1047</v>
      </c>
    </row>
    <row r="25" spans="1:5" x14ac:dyDescent="0.25">
      <c r="A25" s="32" t="s">
        <v>1048</v>
      </c>
      <c r="B25" s="32" t="s">
        <v>1049</v>
      </c>
      <c r="C25" s="32" t="s">
        <v>1050</v>
      </c>
      <c r="D25" s="33" t="s">
        <v>1051</v>
      </c>
      <c r="E25" s="32" t="s">
        <v>1052</v>
      </c>
    </row>
    <row r="26" spans="1:5" x14ac:dyDescent="0.25">
      <c r="A26" s="34" t="s">
        <v>1053</v>
      </c>
      <c r="B26" s="34" t="s">
        <v>1054</v>
      </c>
      <c r="C26" s="34" t="s">
        <v>1055</v>
      </c>
      <c r="D26" s="35" t="s">
        <v>1056</v>
      </c>
      <c r="E26" s="34" t="s">
        <v>1057</v>
      </c>
    </row>
    <row r="27" spans="1:5" x14ac:dyDescent="0.25">
      <c r="A27" s="32" t="s">
        <v>1058</v>
      </c>
      <c r="B27" s="32" t="s">
        <v>1059</v>
      </c>
      <c r="C27" s="32" t="s">
        <v>1060</v>
      </c>
      <c r="D27" s="33" t="s">
        <v>1061</v>
      </c>
      <c r="E27" s="32" t="s">
        <v>1062</v>
      </c>
    </row>
    <row r="28" spans="1:5" x14ac:dyDescent="0.25">
      <c r="A28" s="34" t="s">
        <v>344</v>
      </c>
      <c r="B28" s="34" t="s">
        <v>1063</v>
      </c>
      <c r="C28" s="34" t="s">
        <v>1064</v>
      </c>
      <c r="D28" s="35" t="s">
        <v>1065</v>
      </c>
      <c r="E28" s="34" t="s">
        <v>1066</v>
      </c>
    </row>
    <row r="29" spans="1:5" x14ac:dyDescent="0.25">
      <c r="A29" s="32" t="s">
        <v>23</v>
      </c>
      <c r="B29" s="32" t="s">
        <v>1067</v>
      </c>
      <c r="C29" s="32" t="s">
        <v>1068</v>
      </c>
      <c r="D29" s="33" t="s">
        <v>1069</v>
      </c>
      <c r="E29" s="32" t="s">
        <v>1070</v>
      </c>
    </row>
    <row r="30" spans="1:5" x14ac:dyDescent="0.25">
      <c r="A30" s="34" t="s">
        <v>117</v>
      </c>
      <c r="B30" s="34" t="s">
        <v>1071</v>
      </c>
      <c r="C30" s="34" t="s">
        <v>1072</v>
      </c>
      <c r="D30" s="35" t="s">
        <v>1073</v>
      </c>
      <c r="E30" s="34" t="s">
        <v>1074</v>
      </c>
    </row>
    <row r="31" spans="1:5" x14ac:dyDescent="0.25">
      <c r="A31" s="32" t="s">
        <v>1075</v>
      </c>
      <c r="B31" s="33" t="s">
        <v>1076</v>
      </c>
      <c r="C31" s="33" t="s">
        <v>1077</v>
      </c>
      <c r="D31" s="32" t="s">
        <v>1078</v>
      </c>
      <c r="E31" s="32" t="s">
        <v>1079</v>
      </c>
    </row>
    <row r="32" spans="1:5" x14ac:dyDescent="0.25">
      <c r="A32" s="34" t="s">
        <v>1080</v>
      </c>
      <c r="B32" s="35" t="s">
        <v>1081</v>
      </c>
      <c r="C32" s="34" t="s">
        <v>1082</v>
      </c>
      <c r="D32" s="34" t="s">
        <v>1083</v>
      </c>
      <c r="E32" s="34" t="s">
        <v>1084</v>
      </c>
    </row>
    <row r="33" spans="1:1" x14ac:dyDescent="0.25">
      <c r="A33" s="2" t="s">
        <v>1085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0"/>
  <sheetFormatPr defaultRowHeight="15" outlineLevelRow="0" outlineLevelCol="0" x14ac:dyDescent="55"/>
  <cols>
    <col min="1" max="1" width="44" customWidth="1"/>
    <col min="2" max="5" width="22" customWidth="1"/>
  </cols>
  <sheetData>
    <row r="1" spans="1:1" x14ac:dyDescent="0.25">
      <c r="A1" s="1" t="s">
        <v>1086</v>
      </c>
    </row>
    <row r="2" spans="1:1" x14ac:dyDescent="0.25">
      <c r="A2" s="2" t="s">
        <v>352</v>
      </c>
    </row>
    <row r="3" spans="1:1" x14ac:dyDescent="0.25">
      <c r="A3" s="3" t="s">
        <v>1087</v>
      </c>
    </row>
    <row r="4" ht="30" customHeight="1" spans="1:5" x14ac:dyDescent="0.25">
      <c r="A4" s="4" t="s">
        <v>336</v>
      </c>
      <c r="B4" s="5" t="s">
        <v>337</v>
      </c>
      <c r="C4" s="5" t="s">
        <v>338</v>
      </c>
      <c r="D4" s="5" t="s">
        <v>339</v>
      </c>
      <c r="E4" s="5" t="s">
        <v>194</v>
      </c>
    </row>
    <row r="5" spans="1:5" x14ac:dyDescent="0.25">
      <c r="A5" s="32" t="s">
        <v>341</v>
      </c>
      <c r="B5" s="43">
        <v>38.34</v>
      </c>
      <c r="C5" s="51">
        <v>0.5</v>
      </c>
      <c r="D5" s="43">
        <v>19.17</v>
      </c>
      <c r="E5" s="32" t="s">
        <v>1088</v>
      </c>
    </row>
    <row r="6" spans="1:5" x14ac:dyDescent="0.25">
      <c r="A6" s="34" t="s">
        <v>29</v>
      </c>
      <c r="B6" s="48">
        <v>33.49</v>
      </c>
      <c r="C6" s="100">
        <v>0.5</v>
      </c>
      <c r="D6" s="48">
        <v>16.75</v>
      </c>
      <c r="E6" s="34" t="s">
        <v>1089</v>
      </c>
    </row>
    <row r="7" spans="1:5" x14ac:dyDescent="0.25">
      <c r="A7" s="32" t="s">
        <v>344</v>
      </c>
      <c r="B7" s="43">
        <v>23.74</v>
      </c>
      <c r="C7" s="51">
        <v>0</v>
      </c>
      <c r="D7" s="43">
        <v>0</v>
      </c>
      <c r="E7" s="32" t="s">
        <v>1090</v>
      </c>
    </row>
    <row r="8" spans="1:5" s="17" customFormat="1" x14ac:dyDescent="0.25">
      <c r="A8" s="44" t="s">
        <v>33</v>
      </c>
      <c r="B8" s="46">
        <v>35.92</v>
      </c>
      <c r="C8" s="101">
        <v>1</v>
      </c>
      <c r="D8" s="46">
        <v>35.92</v>
      </c>
      <c r="E8" s="44" t="s">
        <v>1091</v>
      </c>
    </row>
    <row r="9" spans="1:1" x14ac:dyDescent="0.25">
      <c r="A9" s="2" t="s">
        <v>1092</v>
      </c>
    </row>
    <row r="11" spans="1:1" x14ac:dyDescent="0.25">
      <c r="A11" s="3" t="s">
        <v>1093</v>
      </c>
    </row>
    <row r="12" ht="30" customHeight="1" spans="1:2" x14ac:dyDescent="0.25">
      <c r="A12" s="4" t="s">
        <v>100</v>
      </c>
      <c r="B12" s="5" t="s">
        <v>22</v>
      </c>
    </row>
    <row r="13" spans="1:2" x14ac:dyDescent="0.25">
      <c r="A13" s="32" t="s">
        <v>1094</v>
      </c>
      <c r="B13" s="43">
        <v>35.92</v>
      </c>
    </row>
    <row r="14" spans="1:2" x14ac:dyDescent="0.25">
      <c r="A14" s="34" t="s">
        <v>6</v>
      </c>
      <c r="B14" s="35" t="s">
        <v>975</v>
      </c>
    </row>
    <row r="15" spans="1:2" x14ac:dyDescent="0.25">
      <c r="A15" s="32" t="s">
        <v>346</v>
      </c>
      <c r="B15" s="79">
        <v>0.073</v>
      </c>
    </row>
    <row r="16" spans="1:2" x14ac:dyDescent="0.25">
      <c r="A16" s="34" t="s">
        <v>1095</v>
      </c>
      <c r="B16" s="35" t="s">
        <v>1096</v>
      </c>
    </row>
    <row r="17" spans="1:2" x14ac:dyDescent="0.25">
      <c r="A17" s="32" t="s">
        <v>1097</v>
      </c>
      <c r="B17" s="33" t="s">
        <v>1098</v>
      </c>
    </row>
    <row r="18" spans="1:2" s="17" customFormat="1" x14ac:dyDescent="0.25">
      <c r="A18" s="44" t="s">
        <v>35</v>
      </c>
      <c r="B18" s="47" t="s">
        <v>349</v>
      </c>
    </row>
    <row r="19" spans="1:1" x14ac:dyDescent="0.25">
      <c r="A19" s="42" t="s">
        <v>350</v>
      </c>
    </row>
    <row r="20" spans="1:1" x14ac:dyDescent="0.25">
      <c r="A20" s="2" t="s">
        <v>1099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44" customWidth="1"/>
    <col min="2" max="7" width="22" customWidth="1"/>
  </cols>
  <sheetData>
    <row r="1" spans="1:1" x14ac:dyDescent="0.25">
      <c r="A1" s="1" t="s">
        <v>1100</v>
      </c>
    </row>
    <row r="2" spans="1:1" x14ac:dyDescent="0.25">
      <c r="A2" s="2" t="s">
        <v>352</v>
      </c>
    </row>
    <row r="3" spans="1:1" x14ac:dyDescent="0.25">
      <c r="A3" s="3" t="s">
        <v>1101</v>
      </c>
    </row>
    <row r="4" ht="30" customHeight="1" spans="1:7" x14ac:dyDescent="0.25">
      <c r="A4" s="4" t="s">
        <v>4</v>
      </c>
      <c r="B4" s="5" t="s">
        <v>675</v>
      </c>
      <c r="C4" s="5" t="s">
        <v>117</v>
      </c>
      <c r="D4" s="5" t="s">
        <v>1102</v>
      </c>
      <c r="E4" s="5" t="s">
        <v>1103</v>
      </c>
      <c r="F4" s="5" t="s">
        <v>1104</v>
      </c>
      <c r="G4" s="5" t="s">
        <v>1105</v>
      </c>
    </row>
    <row r="5" spans="1:7" x14ac:dyDescent="0.25">
      <c r="A5" s="32" t="s">
        <v>484</v>
      </c>
      <c r="B5" s="38">
        <v>0.0326</v>
      </c>
      <c r="C5" s="38">
        <v>0.0956</v>
      </c>
      <c r="D5" s="97">
        <v>191129</v>
      </c>
      <c r="E5" s="97">
        <v>6636</v>
      </c>
      <c r="F5" s="43">
        <v>37.93</v>
      </c>
      <c r="G5" s="79">
        <v>0.133</v>
      </c>
    </row>
    <row r="6" spans="1:7" s="17" customFormat="1" x14ac:dyDescent="0.25">
      <c r="A6" s="44" t="s">
        <v>1106</v>
      </c>
      <c r="B6" s="45">
        <v>0.0351</v>
      </c>
      <c r="C6" s="45">
        <v>0.0956</v>
      </c>
      <c r="D6" s="91">
        <v>193344</v>
      </c>
      <c r="E6" s="91">
        <v>6704</v>
      </c>
      <c r="F6" s="46">
        <v>38.34</v>
      </c>
      <c r="G6" s="102">
        <v>0.145</v>
      </c>
    </row>
    <row r="7" spans="1:7" x14ac:dyDescent="0.25">
      <c r="A7" s="32" t="s">
        <v>490</v>
      </c>
      <c r="B7" s="38">
        <v>0.04</v>
      </c>
      <c r="C7" s="38">
        <v>0.09570000000000001</v>
      </c>
      <c r="D7" s="97">
        <v>197744</v>
      </c>
      <c r="E7" s="97">
        <v>6840</v>
      </c>
      <c r="F7" s="43">
        <v>39.14</v>
      </c>
      <c r="G7" s="79">
        <v>0.16899999999999998</v>
      </c>
    </row>
    <row r="8" spans="1:7" x14ac:dyDescent="0.25">
      <c r="A8" s="34" t="s">
        <v>493</v>
      </c>
      <c r="B8" s="35" t="s">
        <v>1107</v>
      </c>
      <c r="C8" s="37">
        <v>0.09570000000000001</v>
      </c>
      <c r="D8" s="96">
        <v>195901</v>
      </c>
      <c r="E8" s="96">
        <v>6785</v>
      </c>
      <c r="F8" s="48">
        <v>38.82</v>
      </c>
      <c r="G8" s="99">
        <v>0.16</v>
      </c>
    </row>
    <row r="9" spans="1:1" x14ac:dyDescent="0.25">
      <c r="A9" s="2" t="s">
        <v>1108</v>
      </c>
    </row>
    <row r="11" spans="1:1" x14ac:dyDescent="0.25">
      <c r="A11" s="3" t="s">
        <v>1109</v>
      </c>
    </row>
    <row r="12" ht="30" customHeight="1" spans="1:5" x14ac:dyDescent="0.25">
      <c r="A12" s="4" t="s">
        <v>664</v>
      </c>
      <c r="B12" s="5" t="s">
        <v>850</v>
      </c>
      <c r="C12" s="5" t="s">
        <v>1110</v>
      </c>
      <c r="D12" s="5" t="s">
        <v>1111</v>
      </c>
      <c r="E12" s="5" t="s">
        <v>965</v>
      </c>
    </row>
    <row r="13" spans="1:5" x14ac:dyDescent="0.25">
      <c r="A13" s="32" t="s">
        <v>117</v>
      </c>
      <c r="B13" s="33" t="s">
        <v>1112</v>
      </c>
      <c r="C13" s="43">
        <v>43.91</v>
      </c>
      <c r="D13" s="43">
        <v>34.16</v>
      </c>
      <c r="E13" s="43">
        <v>9.74</v>
      </c>
    </row>
    <row r="14" spans="1:5" x14ac:dyDescent="0.25">
      <c r="A14" s="34" t="s">
        <v>639</v>
      </c>
      <c r="B14" s="35" t="s">
        <v>1113</v>
      </c>
      <c r="C14" s="48">
        <v>33.69</v>
      </c>
      <c r="D14" s="48">
        <v>42.99</v>
      </c>
      <c r="E14" s="48">
        <v>9.3</v>
      </c>
    </row>
    <row r="15" spans="1:5" x14ac:dyDescent="0.25">
      <c r="A15" s="32" t="s">
        <v>635</v>
      </c>
      <c r="B15" s="33" t="s">
        <v>1114</v>
      </c>
      <c r="C15" s="43">
        <v>34.76</v>
      </c>
      <c r="D15" s="43">
        <v>42.17</v>
      </c>
      <c r="E15" s="43">
        <v>7.41</v>
      </c>
    </row>
    <row r="16" spans="1:5" x14ac:dyDescent="0.25">
      <c r="A16" s="34" t="s">
        <v>67</v>
      </c>
      <c r="B16" s="35" t="s">
        <v>1112</v>
      </c>
      <c r="C16" s="48">
        <v>35.54</v>
      </c>
      <c r="D16" s="48">
        <v>42.25</v>
      </c>
      <c r="E16" s="48">
        <v>6.71</v>
      </c>
    </row>
    <row r="17" spans="1:5" x14ac:dyDescent="0.25">
      <c r="A17" s="32" t="s">
        <v>1115</v>
      </c>
      <c r="B17" s="33" t="s">
        <v>1116</v>
      </c>
      <c r="C17" s="43">
        <v>35.83</v>
      </c>
      <c r="D17" s="43">
        <v>40.85</v>
      </c>
      <c r="E17" s="43">
        <v>5.02</v>
      </c>
    </row>
    <row r="18" spans="1:5" x14ac:dyDescent="0.25">
      <c r="A18" s="34" t="s">
        <v>641</v>
      </c>
      <c r="B18" s="35" t="s">
        <v>1113</v>
      </c>
      <c r="C18" s="48">
        <v>40.38</v>
      </c>
      <c r="D18" s="48">
        <v>36.3</v>
      </c>
      <c r="E18" s="48">
        <v>4.07</v>
      </c>
    </row>
    <row r="19" spans="1:5" x14ac:dyDescent="0.25">
      <c r="A19" s="32" t="s">
        <v>643</v>
      </c>
      <c r="B19" s="33" t="s">
        <v>1117</v>
      </c>
      <c r="C19" s="43">
        <v>40.16</v>
      </c>
      <c r="D19" s="43">
        <v>36.52</v>
      </c>
      <c r="E19" s="43">
        <v>3.64</v>
      </c>
    </row>
    <row r="20" spans="1:1" x14ac:dyDescent="0.25">
      <c r="A20" s="2" t="s">
        <v>1118</v>
      </c>
    </row>
    <row r="22" spans="1:1" x14ac:dyDescent="0.25">
      <c r="A22" s="3" t="s">
        <v>1119</v>
      </c>
    </row>
    <row r="23" ht="30" customHeight="1" spans="1:6" x14ac:dyDescent="0.25">
      <c r="A23" s="4" t="s">
        <v>117</v>
      </c>
      <c r="B23" s="5" t="s">
        <v>1120</v>
      </c>
      <c r="C23" s="5" t="s">
        <v>1121</v>
      </c>
      <c r="D23" s="5" t="s">
        <v>1122</v>
      </c>
      <c r="E23" s="5" t="s">
        <v>1123</v>
      </c>
      <c r="F23" s="5" t="s">
        <v>1124</v>
      </c>
    </row>
    <row r="24" spans="1:6" x14ac:dyDescent="0.25">
      <c r="A24" s="32" t="s">
        <v>1125</v>
      </c>
      <c r="B24" s="43">
        <v>39.87</v>
      </c>
      <c r="C24" s="43">
        <v>41.71</v>
      </c>
      <c r="D24" s="43">
        <v>43.91</v>
      </c>
      <c r="E24" s="43">
        <v>46.59</v>
      </c>
      <c r="F24" s="43">
        <v>49.93</v>
      </c>
    </row>
    <row r="25" spans="1:6" x14ac:dyDescent="0.25">
      <c r="A25" s="34" t="s">
        <v>1126</v>
      </c>
      <c r="B25" s="48">
        <v>37.56</v>
      </c>
      <c r="C25" s="48">
        <v>39.1</v>
      </c>
      <c r="D25" s="48">
        <v>40.9</v>
      </c>
      <c r="E25" s="48">
        <v>43.07</v>
      </c>
      <c r="F25" s="48">
        <v>45.71</v>
      </c>
    </row>
    <row r="26" spans="1:6" x14ac:dyDescent="0.25">
      <c r="A26" s="32" t="s">
        <v>1127</v>
      </c>
      <c r="B26" s="43">
        <v>35.54</v>
      </c>
      <c r="C26" s="43">
        <v>36.83</v>
      </c>
      <c r="D26" s="43">
        <v>38.34</v>
      </c>
      <c r="E26" s="43">
        <v>40.12</v>
      </c>
      <c r="F26" s="43">
        <v>42.25</v>
      </c>
    </row>
    <row r="27" spans="1:6" x14ac:dyDescent="0.25">
      <c r="A27" s="34" t="s">
        <v>1128</v>
      </c>
      <c r="B27" s="48">
        <v>33.74</v>
      </c>
      <c r="C27" s="48">
        <v>34.84</v>
      </c>
      <c r="D27" s="48">
        <v>36.12</v>
      </c>
      <c r="E27" s="48">
        <v>37.6</v>
      </c>
      <c r="F27" s="48">
        <v>39.35</v>
      </c>
    </row>
    <row r="28" spans="1:6" x14ac:dyDescent="0.25">
      <c r="A28" s="32" t="s">
        <v>1129</v>
      </c>
      <c r="B28" s="43">
        <v>32.12</v>
      </c>
      <c r="C28" s="43">
        <v>33.07</v>
      </c>
      <c r="D28" s="43">
        <v>34.16</v>
      </c>
      <c r="E28" s="43">
        <v>35.42</v>
      </c>
      <c r="F28" s="43">
        <v>36.88</v>
      </c>
    </row>
    <row r="29" spans="1:1" x14ac:dyDescent="0.25">
      <c r="A29" s="42" t="s">
        <v>1130</v>
      </c>
    </row>
    <row r="30" spans="1:1" x14ac:dyDescent="0.25">
      <c r="A30" s="2" t="s">
        <v>1131</v>
      </c>
    </row>
    <row r="32" spans="1:1" x14ac:dyDescent="0.25">
      <c r="A32" s="3" t="s">
        <v>1132</v>
      </c>
    </row>
    <row r="33" ht="30" customHeight="1" spans="1:6" x14ac:dyDescent="0.25">
      <c r="A33" s="4" t="s">
        <v>668</v>
      </c>
      <c r="B33" s="5" t="s">
        <v>1133</v>
      </c>
      <c r="C33" s="5" t="s">
        <v>1134</v>
      </c>
      <c r="D33" s="5" t="s">
        <v>1135</v>
      </c>
      <c r="E33" s="5" t="s">
        <v>1136</v>
      </c>
      <c r="F33" s="5" t="s">
        <v>1137</v>
      </c>
    </row>
    <row r="34" spans="1:6" x14ac:dyDescent="0.25">
      <c r="A34" s="32" t="s">
        <v>1138</v>
      </c>
      <c r="B34" s="43">
        <v>30.5</v>
      </c>
      <c r="C34" s="43">
        <v>32.63</v>
      </c>
      <c r="D34" s="43">
        <v>34.76</v>
      </c>
      <c r="E34" s="43">
        <v>36.89</v>
      </c>
      <c r="F34" s="43">
        <v>39.02</v>
      </c>
    </row>
    <row r="35" spans="1:6" x14ac:dyDescent="0.25">
      <c r="A35" s="34" t="s">
        <v>1139</v>
      </c>
      <c r="B35" s="48">
        <v>32.07</v>
      </c>
      <c r="C35" s="48">
        <v>34.29</v>
      </c>
      <c r="D35" s="48">
        <v>36.52</v>
      </c>
      <c r="E35" s="48">
        <v>38.75</v>
      </c>
      <c r="F35" s="48">
        <v>40.97</v>
      </c>
    </row>
    <row r="36" spans="1:6" x14ac:dyDescent="0.25">
      <c r="A36" s="32" t="s">
        <v>1140</v>
      </c>
      <c r="B36" s="43">
        <v>33.69</v>
      </c>
      <c r="C36" s="43">
        <v>36.02</v>
      </c>
      <c r="D36" s="43">
        <v>38.34</v>
      </c>
      <c r="E36" s="43">
        <v>40.66</v>
      </c>
      <c r="F36" s="43">
        <v>42.99</v>
      </c>
    </row>
    <row r="37" spans="1:6" x14ac:dyDescent="0.25">
      <c r="A37" s="34" t="s">
        <v>1141</v>
      </c>
      <c r="B37" s="48">
        <v>35.37</v>
      </c>
      <c r="C37" s="48">
        <v>37.8</v>
      </c>
      <c r="D37" s="48">
        <v>40.22</v>
      </c>
      <c r="E37" s="48">
        <v>42.65</v>
      </c>
      <c r="F37" s="48">
        <v>45.07</v>
      </c>
    </row>
    <row r="38" spans="1:6" x14ac:dyDescent="0.25">
      <c r="A38" s="32" t="s">
        <v>1142</v>
      </c>
      <c r="B38" s="43">
        <v>37.11</v>
      </c>
      <c r="C38" s="43">
        <v>39.64</v>
      </c>
      <c r="D38" s="43">
        <v>42.17</v>
      </c>
      <c r="E38" s="43">
        <v>44.7</v>
      </c>
      <c r="F38" s="43">
        <v>47.23</v>
      </c>
    </row>
    <row r="39" spans="1:1" x14ac:dyDescent="0.25">
      <c r="A39" s="42" t="s">
        <v>1143</v>
      </c>
    </row>
    <row r="40" spans="1:1" x14ac:dyDescent="0.25">
      <c r="A40" s="2" t="s">
        <v>1131</v>
      </c>
    </row>
    <row r="42" spans="1:1" x14ac:dyDescent="0.25">
      <c r="A42" s="3" t="s">
        <v>1144</v>
      </c>
    </row>
    <row r="43" ht="30" customHeight="1" spans="1:6" x14ac:dyDescent="0.25">
      <c r="A43" s="4" t="s">
        <v>117</v>
      </c>
      <c r="B43" s="5" t="s">
        <v>1145</v>
      </c>
      <c r="C43" s="5" t="s">
        <v>1146</v>
      </c>
      <c r="D43" s="5" t="s">
        <v>1147</v>
      </c>
      <c r="E43" s="5" t="s">
        <v>1148</v>
      </c>
      <c r="F43" s="5" t="s">
        <v>1149</v>
      </c>
    </row>
    <row r="44" spans="1:6" x14ac:dyDescent="0.25">
      <c r="A44" s="32" t="s">
        <v>1125</v>
      </c>
      <c r="B44" s="43">
        <v>41.29</v>
      </c>
      <c r="C44" s="43">
        <v>42.6</v>
      </c>
      <c r="D44" s="43">
        <v>43.91</v>
      </c>
      <c r="E44" s="43">
        <v>45.21</v>
      </c>
      <c r="F44" s="43">
        <v>46.52</v>
      </c>
    </row>
    <row r="45" spans="1:6" x14ac:dyDescent="0.25">
      <c r="A45" s="34" t="s">
        <v>1126</v>
      </c>
      <c r="B45" s="48">
        <v>38.34</v>
      </c>
      <c r="C45" s="48">
        <v>39.62</v>
      </c>
      <c r="D45" s="48">
        <v>40.9</v>
      </c>
      <c r="E45" s="48">
        <v>42.19</v>
      </c>
      <c r="F45" s="48">
        <v>43.47</v>
      </c>
    </row>
    <row r="46" spans="1:6" x14ac:dyDescent="0.25">
      <c r="A46" s="32" t="s">
        <v>1127</v>
      </c>
      <c r="B46" s="43">
        <v>35.83</v>
      </c>
      <c r="C46" s="43">
        <v>37.08</v>
      </c>
      <c r="D46" s="43">
        <v>38.34</v>
      </c>
      <c r="E46" s="43">
        <v>39.6</v>
      </c>
      <c r="F46" s="43">
        <v>40.85</v>
      </c>
    </row>
    <row r="47" spans="1:6" x14ac:dyDescent="0.25">
      <c r="A47" s="34" t="s">
        <v>1128</v>
      </c>
      <c r="B47" s="48">
        <v>33.66</v>
      </c>
      <c r="C47" s="48">
        <v>34.89</v>
      </c>
      <c r="D47" s="48">
        <v>36.12</v>
      </c>
      <c r="E47" s="48">
        <v>37.35</v>
      </c>
      <c r="F47" s="48">
        <v>38.58</v>
      </c>
    </row>
    <row r="48" spans="1:6" x14ac:dyDescent="0.25">
      <c r="A48" s="32" t="s">
        <v>1129</v>
      </c>
      <c r="B48" s="43">
        <v>31.75</v>
      </c>
      <c r="C48" s="43">
        <v>32.96</v>
      </c>
      <c r="D48" s="43">
        <v>34.16</v>
      </c>
      <c r="E48" s="43">
        <v>35.37</v>
      </c>
      <c r="F48" s="43">
        <v>36.57</v>
      </c>
    </row>
    <row r="49" spans="1:1" x14ac:dyDescent="0.25">
      <c r="A49" s="42" t="s">
        <v>1150</v>
      </c>
    </row>
    <row r="50" spans="1:1" x14ac:dyDescent="0.25">
      <c r="A50" s="2" t="s">
        <v>1131</v>
      </c>
    </row>
    <row r="52" spans="1:1" x14ac:dyDescent="0.25">
      <c r="A52" s="3" t="s">
        <v>1151</v>
      </c>
    </row>
    <row r="53" ht="30" customHeight="1" spans="1:6" x14ac:dyDescent="0.25">
      <c r="A53" s="4" t="s">
        <v>670</v>
      </c>
      <c r="B53" s="5" t="s">
        <v>1152</v>
      </c>
      <c r="C53" s="5" t="s">
        <v>1153</v>
      </c>
      <c r="D53" s="5" t="s">
        <v>1135</v>
      </c>
      <c r="E53" s="5" t="s">
        <v>1154</v>
      </c>
      <c r="F53" s="5" t="s">
        <v>1155</v>
      </c>
    </row>
    <row r="54" spans="1:6" x14ac:dyDescent="0.25">
      <c r="A54" s="32" t="s">
        <v>1156</v>
      </c>
      <c r="B54" s="43">
        <v>42.2</v>
      </c>
      <c r="C54" s="43">
        <v>41.29</v>
      </c>
      <c r="D54" s="43">
        <v>40.38</v>
      </c>
      <c r="E54" s="43">
        <v>39.47</v>
      </c>
      <c r="F54" s="43">
        <v>38.55</v>
      </c>
    </row>
    <row r="55" spans="1:6" x14ac:dyDescent="0.25">
      <c r="A55" s="34" t="s">
        <v>1157</v>
      </c>
      <c r="B55" s="48">
        <v>41.18</v>
      </c>
      <c r="C55" s="48">
        <v>40.27</v>
      </c>
      <c r="D55" s="48">
        <v>39.36</v>
      </c>
      <c r="E55" s="48">
        <v>38.45</v>
      </c>
      <c r="F55" s="48">
        <v>37.54</v>
      </c>
    </row>
    <row r="56" spans="1:6" x14ac:dyDescent="0.25">
      <c r="A56" s="32" t="s">
        <v>1158</v>
      </c>
      <c r="B56" s="43">
        <v>40.16</v>
      </c>
      <c r="C56" s="43">
        <v>39.25</v>
      </c>
      <c r="D56" s="43">
        <v>38.34</v>
      </c>
      <c r="E56" s="43">
        <v>37.43</v>
      </c>
      <c r="F56" s="43">
        <v>36.52</v>
      </c>
    </row>
    <row r="57" spans="1:6" x14ac:dyDescent="0.25">
      <c r="A57" s="34" t="s">
        <v>1159</v>
      </c>
      <c r="B57" s="48">
        <v>39.14</v>
      </c>
      <c r="C57" s="48">
        <v>38.23</v>
      </c>
      <c r="D57" s="48">
        <v>37.32</v>
      </c>
      <c r="E57" s="48">
        <v>36.41</v>
      </c>
      <c r="F57" s="48">
        <v>35.5</v>
      </c>
    </row>
    <row r="58" spans="1:6" x14ac:dyDescent="0.25">
      <c r="A58" s="32" t="s">
        <v>1160</v>
      </c>
      <c r="B58" s="43">
        <v>38.13</v>
      </c>
      <c r="C58" s="43">
        <v>37.21</v>
      </c>
      <c r="D58" s="43">
        <v>36.3</v>
      </c>
      <c r="E58" s="43">
        <v>35.39</v>
      </c>
      <c r="F58" s="43">
        <v>34.48</v>
      </c>
    </row>
    <row r="59" spans="1:1" x14ac:dyDescent="0.25">
      <c r="A59" s="42" t="s">
        <v>1161</v>
      </c>
    </row>
    <row r="60" spans="1:1" x14ac:dyDescent="0.25">
      <c r="A60" s="2" t="s">
        <v>1131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FormatPr defaultRowHeight="15" outlineLevelRow="0" outlineLevelCol="0" x14ac:dyDescent="55"/>
  <cols>
    <col min="1" max="1" width="44" customWidth="1"/>
    <col min="2" max="7" width="22" customWidth="1"/>
  </cols>
  <sheetData>
    <row r="1" spans="1:1" x14ac:dyDescent="0.25">
      <c r="A1" s="1" t="s">
        <v>1162</v>
      </c>
    </row>
    <row r="2" spans="1:1" x14ac:dyDescent="0.25">
      <c r="A2" s="2" t="s">
        <v>352</v>
      </c>
    </row>
    <row r="3" spans="1:1" x14ac:dyDescent="0.25">
      <c r="A3" s="3" t="s">
        <v>1163</v>
      </c>
    </row>
    <row r="4" ht="30" customHeight="1" spans="1:5" x14ac:dyDescent="0.25">
      <c r="A4" s="4" t="s">
        <v>1164</v>
      </c>
      <c r="B4" s="5" t="s">
        <v>1165</v>
      </c>
      <c r="C4" s="5" t="s">
        <v>822</v>
      </c>
      <c r="D4" s="5" t="s">
        <v>102</v>
      </c>
      <c r="E4" s="5" t="s">
        <v>516</v>
      </c>
    </row>
    <row r="5" spans="1:5" x14ac:dyDescent="0.25">
      <c r="A5" s="32" t="s">
        <v>1166</v>
      </c>
      <c r="B5" s="33" t="s">
        <v>1167</v>
      </c>
      <c r="C5" s="33" t="s">
        <v>1168</v>
      </c>
      <c r="D5" s="33" t="s">
        <v>1169</v>
      </c>
      <c r="E5" s="33" t="s">
        <v>442</v>
      </c>
    </row>
    <row r="6" spans="1:5" x14ac:dyDescent="0.25">
      <c r="A6" s="34" t="s">
        <v>1166</v>
      </c>
      <c r="B6" s="35" t="s">
        <v>1170</v>
      </c>
      <c r="C6" s="35" t="s">
        <v>1168</v>
      </c>
      <c r="D6" s="35" t="s">
        <v>1171</v>
      </c>
      <c r="E6" s="35" t="s">
        <v>442</v>
      </c>
    </row>
    <row r="7" spans="1:5" x14ac:dyDescent="0.25">
      <c r="A7" s="32" t="s">
        <v>1166</v>
      </c>
      <c r="B7" s="33" t="s">
        <v>1172</v>
      </c>
      <c r="C7" s="33" t="s">
        <v>1168</v>
      </c>
      <c r="D7" s="33" t="s">
        <v>1173</v>
      </c>
      <c r="E7" s="33" t="s">
        <v>442</v>
      </c>
    </row>
    <row r="8" spans="1:5" x14ac:dyDescent="0.25">
      <c r="A8" s="34" t="s">
        <v>379</v>
      </c>
      <c r="B8" s="35" t="s">
        <v>1174</v>
      </c>
      <c r="C8" s="35" t="s">
        <v>1168</v>
      </c>
      <c r="D8" s="35" t="s">
        <v>1175</v>
      </c>
      <c r="E8" s="35" t="s">
        <v>442</v>
      </c>
    </row>
    <row r="9" spans="1:5" x14ac:dyDescent="0.25">
      <c r="A9" s="32" t="s">
        <v>379</v>
      </c>
      <c r="B9" s="33" t="s">
        <v>1176</v>
      </c>
      <c r="C9" s="33" t="s">
        <v>1168</v>
      </c>
      <c r="D9" s="33" t="s">
        <v>1177</v>
      </c>
      <c r="E9" s="33" t="s">
        <v>442</v>
      </c>
    </row>
    <row r="10" spans="1:5" x14ac:dyDescent="0.25">
      <c r="A10" s="34" t="s">
        <v>379</v>
      </c>
      <c r="B10" s="35" t="s">
        <v>1178</v>
      </c>
      <c r="C10" s="35" t="s">
        <v>1168</v>
      </c>
      <c r="D10" s="69">
        <v>23547.4</v>
      </c>
      <c r="E10" s="35" t="s">
        <v>442</v>
      </c>
    </row>
    <row r="11" spans="1:5" x14ac:dyDescent="0.25">
      <c r="A11" s="32" t="s">
        <v>379</v>
      </c>
      <c r="B11" s="33" t="s">
        <v>1179</v>
      </c>
      <c r="C11" s="33" t="s">
        <v>1168</v>
      </c>
      <c r="D11" s="53">
        <v>86271</v>
      </c>
      <c r="E11" s="33" t="s">
        <v>442</v>
      </c>
    </row>
    <row r="12" spans="1:5" x14ac:dyDescent="0.25">
      <c r="A12" s="34" t="s">
        <v>379</v>
      </c>
      <c r="B12" s="35" t="s">
        <v>1180</v>
      </c>
      <c r="C12" s="35" t="s">
        <v>1168</v>
      </c>
      <c r="D12" s="69">
        <v>65059.7</v>
      </c>
      <c r="E12" s="35" t="s">
        <v>442</v>
      </c>
    </row>
    <row r="13" spans="1:5" x14ac:dyDescent="0.25">
      <c r="A13" s="32" t="s">
        <v>379</v>
      </c>
      <c r="B13" s="32" t="s">
        <v>1181</v>
      </c>
      <c r="C13" s="33" t="s">
        <v>1168</v>
      </c>
      <c r="D13" s="33" t="s">
        <v>1182</v>
      </c>
      <c r="E13" s="33" t="s">
        <v>442</v>
      </c>
    </row>
    <row r="14" spans="1:5" x14ac:dyDescent="0.25">
      <c r="A14" s="34" t="s">
        <v>379</v>
      </c>
      <c r="B14" s="35" t="s">
        <v>1183</v>
      </c>
      <c r="C14" s="35" t="s">
        <v>1168</v>
      </c>
      <c r="D14" s="35" t="s">
        <v>1184</v>
      </c>
      <c r="E14" s="35" t="s">
        <v>442</v>
      </c>
    </row>
    <row r="15" spans="1:5" x14ac:dyDescent="0.25">
      <c r="A15" s="32" t="s">
        <v>379</v>
      </c>
      <c r="B15" s="32" t="s">
        <v>1185</v>
      </c>
      <c r="C15" s="33" t="s">
        <v>1168</v>
      </c>
      <c r="D15" s="32" t="s">
        <v>1186</v>
      </c>
      <c r="E15" s="33" t="s">
        <v>442</v>
      </c>
    </row>
    <row r="16" spans="1:5" x14ac:dyDescent="0.25">
      <c r="A16" s="34" t="s">
        <v>1187</v>
      </c>
      <c r="B16" s="34" t="s">
        <v>1188</v>
      </c>
      <c r="C16" s="35" t="s">
        <v>1168</v>
      </c>
      <c r="D16" s="35" t="s">
        <v>1189</v>
      </c>
      <c r="E16" s="35" t="s">
        <v>442</v>
      </c>
    </row>
    <row r="17" spans="1:5" x14ac:dyDescent="0.25">
      <c r="A17" s="32" t="s">
        <v>1187</v>
      </c>
      <c r="B17" s="32" t="s">
        <v>1190</v>
      </c>
      <c r="C17" s="33" t="s">
        <v>1168</v>
      </c>
      <c r="D17" s="33" t="s">
        <v>1191</v>
      </c>
      <c r="E17" s="33" t="s">
        <v>442</v>
      </c>
    </row>
    <row r="18" spans="1:5" x14ac:dyDescent="0.25">
      <c r="A18" s="34" t="s">
        <v>1187</v>
      </c>
      <c r="B18" s="34" t="s">
        <v>1192</v>
      </c>
      <c r="C18" s="35" t="s">
        <v>1168</v>
      </c>
      <c r="D18" s="34" t="s">
        <v>1193</v>
      </c>
      <c r="E18" s="35" t="s">
        <v>442</v>
      </c>
    </row>
    <row r="19" spans="1:5" x14ac:dyDescent="0.25">
      <c r="A19" s="32" t="s">
        <v>1187</v>
      </c>
      <c r="B19" s="33" t="s">
        <v>1194</v>
      </c>
      <c r="C19" s="33" t="s">
        <v>1168</v>
      </c>
      <c r="D19" s="32" t="s">
        <v>1195</v>
      </c>
      <c r="E19" s="33" t="s">
        <v>442</v>
      </c>
    </row>
    <row r="20" spans="1:5" x14ac:dyDescent="0.25">
      <c r="A20" s="34" t="s">
        <v>1187</v>
      </c>
      <c r="B20" s="34" t="s">
        <v>1196</v>
      </c>
      <c r="C20" s="35" t="s">
        <v>1168</v>
      </c>
      <c r="D20" s="35" t="s">
        <v>1197</v>
      </c>
      <c r="E20" s="35" t="s">
        <v>442</v>
      </c>
    </row>
    <row r="21" spans="1:5" x14ac:dyDescent="0.25">
      <c r="A21" s="32" t="s">
        <v>516</v>
      </c>
      <c r="B21" s="33" t="s">
        <v>1198</v>
      </c>
      <c r="C21" s="33" t="s">
        <v>1168</v>
      </c>
      <c r="D21" s="53">
        <v>5567.8</v>
      </c>
      <c r="E21" s="53">
        <v>5567.8</v>
      </c>
    </row>
    <row r="22" spans="1:5" x14ac:dyDescent="0.25">
      <c r="A22" s="34" t="s">
        <v>516</v>
      </c>
      <c r="B22" s="35" t="s">
        <v>1199</v>
      </c>
      <c r="C22" s="35" t="s">
        <v>1168</v>
      </c>
      <c r="D22" s="69">
        <v>5889.1</v>
      </c>
      <c r="E22" s="69">
        <v>5889.1</v>
      </c>
    </row>
    <row r="23" spans="1:5" x14ac:dyDescent="0.25">
      <c r="A23" s="32" t="s">
        <v>516</v>
      </c>
      <c r="B23" s="33" t="s">
        <v>1200</v>
      </c>
      <c r="C23" s="33" t="s">
        <v>1168</v>
      </c>
      <c r="D23" s="53">
        <v>6423.8</v>
      </c>
      <c r="E23" s="53">
        <v>6423.8</v>
      </c>
    </row>
    <row r="24" spans="1:5" x14ac:dyDescent="0.25">
      <c r="A24" s="34" t="s">
        <v>516</v>
      </c>
      <c r="B24" s="35" t="s">
        <v>1201</v>
      </c>
      <c r="C24" s="35" t="s">
        <v>1168</v>
      </c>
      <c r="D24" s="69">
        <v>6381.5</v>
      </c>
      <c r="E24" s="69">
        <v>6381.5</v>
      </c>
    </row>
    <row r="25" spans="1:5" x14ac:dyDescent="0.25">
      <c r="A25" s="32" t="s">
        <v>516</v>
      </c>
      <c r="B25" s="33" t="s">
        <v>1202</v>
      </c>
      <c r="C25" s="33" t="s">
        <v>1168</v>
      </c>
      <c r="D25" s="53">
        <v>6704.4</v>
      </c>
      <c r="E25" s="53">
        <v>6704.4</v>
      </c>
    </row>
    <row r="26" spans="1:5" x14ac:dyDescent="0.25">
      <c r="A26" s="34" t="s">
        <v>516</v>
      </c>
      <c r="B26" s="35" t="s">
        <v>1203</v>
      </c>
      <c r="C26" s="35" t="s">
        <v>1168</v>
      </c>
      <c r="D26" s="37">
        <v>0.0956</v>
      </c>
      <c r="E26" s="37">
        <v>0.0956</v>
      </c>
    </row>
    <row r="27" spans="1:5" x14ac:dyDescent="0.25">
      <c r="A27" s="32" t="s">
        <v>516</v>
      </c>
      <c r="B27" s="33" t="s">
        <v>129</v>
      </c>
      <c r="C27" s="33" t="s">
        <v>1168</v>
      </c>
      <c r="D27" s="38">
        <v>0.10400000000000001</v>
      </c>
      <c r="E27" s="38">
        <v>0.10400000000000001</v>
      </c>
    </row>
    <row r="28" spans="1:5" x14ac:dyDescent="0.25">
      <c r="A28" s="34" t="s">
        <v>516</v>
      </c>
      <c r="B28" s="35" t="s">
        <v>1204</v>
      </c>
      <c r="C28" s="35" t="s">
        <v>1168</v>
      </c>
      <c r="D28" s="69">
        <v>23547.4</v>
      </c>
      <c r="E28" s="69">
        <v>23547.4</v>
      </c>
    </row>
    <row r="29" spans="1:5" x14ac:dyDescent="0.25">
      <c r="A29" s="32" t="s">
        <v>516</v>
      </c>
      <c r="B29" s="33" t="s">
        <v>750</v>
      </c>
      <c r="C29" s="33" t="s">
        <v>1168</v>
      </c>
      <c r="D29" s="53">
        <v>99025.3</v>
      </c>
      <c r="E29" s="53">
        <v>99025.3</v>
      </c>
    </row>
    <row r="30" spans="1:5" x14ac:dyDescent="0.25">
      <c r="A30" s="34" t="s">
        <v>516</v>
      </c>
      <c r="B30" s="35" t="s">
        <v>1205</v>
      </c>
      <c r="C30" s="35" t="s">
        <v>1168</v>
      </c>
      <c r="D30" s="69">
        <v>62723.6</v>
      </c>
      <c r="E30" s="69">
        <v>62723.6</v>
      </c>
    </row>
    <row r="31" spans="1:5" x14ac:dyDescent="0.25">
      <c r="A31" s="32" t="s">
        <v>516</v>
      </c>
      <c r="B31" s="33" t="s">
        <v>156</v>
      </c>
      <c r="C31" s="33" t="s">
        <v>1168</v>
      </c>
      <c r="D31" s="53">
        <v>86271</v>
      </c>
      <c r="E31" s="53">
        <v>86271</v>
      </c>
    </row>
    <row r="32" spans="1:5" x14ac:dyDescent="0.25">
      <c r="A32" s="34" t="s">
        <v>516</v>
      </c>
      <c r="B32" s="35" t="s">
        <v>1206</v>
      </c>
      <c r="C32" s="35" t="s">
        <v>1168</v>
      </c>
      <c r="D32" s="69">
        <v>72494.4</v>
      </c>
      <c r="E32" s="69">
        <v>72494.4</v>
      </c>
    </row>
    <row r="33" spans="1:5" x14ac:dyDescent="0.25">
      <c r="A33" s="32" t="s">
        <v>516</v>
      </c>
      <c r="B33" s="33" t="s">
        <v>565</v>
      </c>
      <c r="C33" s="33" t="s">
        <v>1168</v>
      </c>
      <c r="D33" s="53">
        <v>79382.7</v>
      </c>
      <c r="E33" s="53">
        <v>79382.7</v>
      </c>
    </row>
    <row r="34" spans="1:5" x14ac:dyDescent="0.25">
      <c r="A34" s="34" t="s">
        <v>516</v>
      </c>
      <c r="B34" s="35" t="s">
        <v>763</v>
      </c>
      <c r="C34" s="35" t="s">
        <v>1168</v>
      </c>
      <c r="D34" s="69">
        <v>84152.1</v>
      </c>
      <c r="E34" s="69">
        <v>84152.1</v>
      </c>
    </row>
    <row r="35" spans="1:5" x14ac:dyDescent="0.25">
      <c r="A35" s="32" t="s">
        <v>516</v>
      </c>
      <c r="B35" s="33" t="s">
        <v>566</v>
      </c>
      <c r="C35" s="33" t="s">
        <v>1168</v>
      </c>
      <c r="D35" s="53">
        <v>69012.1</v>
      </c>
      <c r="E35" s="53">
        <v>69012.1</v>
      </c>
    </row>
    <row r="36" spans="1:5" x14ac:dyDescent="0.25">
      <c r="A36" s="34" t="s">
        <v>516</v>
      </c>
      <c r="B36" s="35" t="s">
        <v>1207</v>
      </c>
      <c r="C36" s="35" t="s">
        <v>1168</v>
      </c>
      <c r="D36" s="48">
        <v>39.97</v>
      </c>
      <c r="E36" s="48">
        <v>39.97</v>
      </c>
    </row>
    <row r="37" spans="1:5" x14ac:dyDescent="0.25">
      <c r="A37" s="32" t="s">
        <v>516</v>
      </c>
      <c r="B37" s="33" t="s">
        <v>1208</v>
      </c>
      <c r="C37" s="33" t="s">
        <v>1168</v>
      </c>
      <c r="D37" s="43">
        <v>32.32</v>
      </c>
      <c r="E37" s="43">
        <v>32.32</v>
      </c>
    </row>
    <row r="38" spans="1:5" x14ac:dyDescent="0.25">
      <c r="A38" s="34" t="s">
        <v>516</v>
      </c>
      <c r="B38" s="35" t="s">
        <v>1209</v>
      </c>
      <c r="C38" s="35" t="s">
        <v>1168</v>
      </c>
      <c r="D38" s="48">
        <v>36.14</v>
      </c>
      <c r="E38" s="48">
        <v>36.14</v>
      </c>
    </row>
    <row r="39" spans="1:5" x14ac:dyDescent="0.25">
      <c r="A39" s="32" t="s">
        <v>516</v>
      </c>
      <c r="B39" s="33" t="s">
        <v>770</v>
      </c>
      <c r="C39" s="33" t="s">
        <v>1168</v>
      </c>
      <c r="D39" s="43">
        <v>38.34</v>
      </c>
      <c r="E39" s="43">
        <v>38.34</v>
      </c>
    </row>
    <row r="40" spans="1:5" x14ac:dyDescent="0.25">
      <c r="A40" s="34" t="s">
        <v>516</v>
      </c>
      <c r="B40" s="35" t="s">
        <v>1210</v>
      </c>
      <c r="C40" s="35" t="s">
        <v>1168</v>
      </c>
      <c r="D40" s="82">
        <v>0.145</v>
      </c>
      <c r="E40" s="82">
        <v>0.145</v>
      </c>
    </row>
    <row r="41" spans="1:5" x14ac:dyDescent="0.25">
      <c r="A41" s="32" t="s">
        <v>516</v>
      </c>
      <c r="B41" s="33" t="s">
        <v>1211</v>
      </c>
      <c r="C41" s="33" t="s">
        <v>1168</v>
      </c>
      <c r="D41" s="36">
        <v>0.727</v>
      </c>
      <c r="E41" s="36">
        <v>0.727</v>
      </c>
    </row>
    <row r="42" spans="1:5" x14ac:dyDescent="0.25">
      <c r="A42" s="34" t="s">
        <v>516</v>
      </c>
      <c r="B42" s="35" t="s">
        <v>1212</v>
      </c>
      <c r="C42" s="35" t="s">
        <v>1168</v>
      </c>
      <c r="D42" s="37">
        <v>0.10060000000000001</v>
      </c>
      <c r="E42" s="37">
        <v>0.10060000000000001</v>
      </c>
    </row>
    <row r="43" spans="1:5" x14ac:dyDescent="0.25">
      <c r="A43" s="32" t="s">
        <v>516</v>
      </c>
      <c r="B43" s="33" t="s">
        <v>1213</v>
      </c>
      <c r="C43" s="33" t="s">
        <v>1168</v>
      </c>
      <c r="D43" s="38">
        <v>0.10439999999999999</v>
      </c>
      <c r="E43" s="38">
        <v>0.10439999999999999</v>
      </c>
    </row>
    <row r="44" spans="1:5" x14ac:dyDescent="0.25">
      <c r="A44" s="34" t="s">
        <v>516</v>
      </c>
      <c r="B44" s="35" t="s">
        <v>29</v>
      </c>
      <c r="C44" s="35" t="s">
        <v>1168</v>
      </c>
      <c r="D44" s="48">
        <v>33.49</v>
      </c>
      <c r="E44" s="48">
        <v>33.49</v>
      </c>
    </row>
    <row r="45" spans="1:5" x14ac:dyDescent="0.25">
      <c r="A45" s="32" t="s">
        <v>516</v>
      </c>
      <c r="B45" s="33" t="s">
        <v>344</v>
      </c>
      <c r="C45" s="33" t="s">
        <v>1168</v>
      </c>
      <c r="D45" s="43">
        <v>23.74</v>
      </c>
      <c r="E45" s="43">
        <v>23.74</v>
      </c>
    </row>
    <row r="46" spans="1:5" x14ac:dyDescent="0.25">
      <c r="A46" s="34" t="s">
        <v>516</v>
      </c>
      <c r="B46" s="35" t="s">
        <v>1214</v>
      </c>
      <c r="C46" s="35" t="s">
        <v>1168</v>
      </c>
      <c r="D46" s="48">
        <v>35.92</v>
      </c>
      <c r="E46" s="48">
        <v>35.92</v>
      </c>
    </row>
    <row r="47" spans="1:5" x14ac:dyDescent="0.25">
      <c r="A47" s="32" t="s">
        <v>516</v>
      </c>
      <c r="B47" s="33" t="s">
        <v>1215</v>
      </c>
      <c r="C47" s="33" t="s">
        <v>1168</v>
      </c>
      <c r="D47" s="33" t="s">
        <v>1216</v>
      </c>
      <c r="E47" s="33" t="s">
        <v>1216</v>
      </c>
    </row>
    <row r="48" spans="1:5" x14ac:dyDescent="0.25">
      <c r="A48" s="34" t="s">
        <v>516</v>
      </c>
      <c r="B48" s="35" t="s">
        <v>1217</v>
      </c>
      <c r="C48" s="35" t="s">
        <v>1168</v>
      </c>
      <c r="D48" s="48">
        <v>34.44</v>
      </c>
      <c r="E48" s="48">
        <v>34.44</v>
      </c>
    </row>
    <row r="49" spans="1:1" x14ac:dyDescent="0.25">
      <c r="A49" s="2" t="s">
        <v>1218</v>
      </c>
    </row>
    <row r="51" spans="1:1" x14ac:dyDescent="0.25">
      <c r="A51" s="3" t="s">
        <v>1219</v>
      </c>
    </row>
    <row r="52" ht="30" customHeight="1" spans="1:7" x14ac:dyDescent="0.25">
      <c r="A52" s="4" t="s">
        <v>1220</v>
      </c>
      <c r="B52" s="5" t="s">
        <v>1221</v>
      </c>
      <c r="C52" s="5" t="s">
        <v>369</v>
      </c>
      <c r="D52" s="5" t="s">
        <v>1222</v>
      </c>
      <c r="E52" s="5" t="s">
        <v>1223</v>
      </c>
      <c r="F52" s="5" t="s">
        <v>1224</v>
      </c>
      <c r="G52" s="5" t="s">
        <v>1225</v>
      </c>
    </row>
    <row r="53" spans="1:7" x14ac:dyDescent="0.25">
      <c r="A53" s="32" t="s">
        <v>1226</v>
      </c>
      <c r="B53" s="33" t="s">
        <v>431</v>
      </c>
      <c r="C53" s="33" t="s">
        <v>1227</v>
      </c>
      <c r="D53" s="32" t="s">
        <v>1228</v>
      </c>
      <c r="E53" s="32" t="s">
        <v>1229</v>
      </c>
      <c r="F53" s="32" t="s">
        <v>1230</v>
      </c>
      <c r="G53" s="32" t="s">
        <v>1231</v>
      </c>
    </row>
    <row r="54" spans="1:7" x14ac:dyDescent="0.25">
      <c r="A54" s="34" t="s">
        <v>1232</v>
      </c>
      <c r="B54" s="35" t="s">
        <v>431</v>
      </c>
      <c r="C54" s="35" t="s">
        <v>1233</v>
      </c>
      <c r="D54" s="34" t="s">
        <v>1234</v>
      </c>
      <c r="E54" s="34" t="s">
        <v>1235</v>
      </c>
      <c r="F54" s="34" t="s">
        <v>1236</v>
      </c>
      <c r="G54" s="34" t="s">
        <v>1237</v>
      </c>
    </row>
    <row r="55" spans="1:7" x14ac:dyDescent="0.25">
      <c r="A55" s="32" t="s">
        <v>1238</v>
      </c>
      <c r="B55" s="33" t="s">
        <v>431</v>
      </c>
      <c r="C55" s="33" t="s">
        <v>1239</v>
      </c>
      <c r="D55" s="32" t="s">
        <v>1240</v>
      </c>
      <c r="E55" s="32" t="s">
        <v>1241</v>
      </c>
      <c r="F55" s="32" t="s">
        <v>1242</v>
      </c>
      <c r="G55" s="33" t="s">
        <v>1243</v>
      </c>
    </row>
    <row r="56" spans="1:7" x14ac:dyDescent="0.25">
      <c r="A56" s="34" t="s">
        <v>1244</v>
      </c>
      <c r="B56" s="35" t="s">
        <v>431</v>
      </c>
      <c r="C56" s="35" t="s">
        <v>1245</v>
      </c>
      <c r="D56" s="34" t="s">
        <v>1246</v>
      </c>
      <c r="E56" s="34" t="s">
        <v>1247</v>
      </c>
      <c r="F56" s="34" t="s">
        <v>1248</v>
      </c>
      <c r="G56" s="35" t="s">
        <v>1249</v>
      </c>
    </row>
    <row r="57" spans="1:7" x14ac:dyDescent="0.25">
      <c r="A57" s="32" t="s">
        <v>1250</v>
      </c>
      <c r="B57" s="33" t="s">
        <v>431</v>
      </c>
      <c r="C57" s="33" t="s">
        <v>1251</v>
      </c>
      <c r="D57" s="32" t="s">
        <v>1252</v>
      </c>
      <c r="E57" s="33" t="s">
        <v>1253</v>
      </c>
      <c r="F57" s="32" t="s">
        <v>1254</v>
      </c>
      <c r="G57" s="33" t="s">
        <v>1255</v>
      </c>
    </row>
    <row r="58" spans="1:7" x14ac:dyDescent="0.25">
      <c r="A58" s="34" t="s">
        <v>1256</v>
      </c>
      <c r="B58" s="35" t="s">
        <v>431</v>
      </c>
      <c r="C58" s="35" t="s">
        <v>1245</v>
      </c>
      <c r="D58" s="34" t="s">
        <v>1257</v>
      </c>
      <c r="E58" s="35" t="s">
        <v>1258</v>
      </c>
      <c r="F58" s="35" t="s">
        <v>1259</v>
      </c>
      <c r="G58" s="35" t="s">
        <v>1260</v>
      </c>
    </row>
    <row r="59" spans="1:7" x14ac:dyDescent="0.25">
      <c r="A59" s="32" t="s">
        <v>1261</v>
      </c>
      <c r="B59" s="33" t="s">
        <v>431</v>
      </c>
      <c r="C59" s="33" t="s">
        <v>1262</v>
      </c>
      <c r="D59" s="32" t="s">
        <v>1263</v>
      </c>
      <c r="E59" s="33" t="s">
        <v>1264</v>
      </c>
      <c r="F59" s="32" t="s">
        <v>1265</v>
      </c>
      <c r="G59" s="33" t="s">
        <v>1266</v>
      </c>
    </row>
    <row r="60" spans="1:7" x14ac:dyDescent="0.25">
      <c r="A60" s="34" t="s">
        <v>1267</v>
      </c>
      <c r="B60" s="35" t="s">
        <v>1268</v>
      </c>
      <c r="C60" s="35" t="s">
        <v>1269</v>
      </c>
      <c r="D60" s="34" t="s">
        <v>1270</v>
      </c>
      <c r="E60" s="34" t="s">
        <v>1271</v>
      </c>
      <c r="F60" s="34" t="s">
        <v>1272</v>
      </c>
      <c r="G60" s="35" t="s">
        <v>1273</v>
      </c>
    </row>
    <row r="61" spans="1:7" x14ac:dyDescent="0.25">
      <c r="A61" s="32" t="s">
        <v>1274</v>
      </c>
      <c r="B61" s="33" t="s">
        <v>1275</v>
      </c>
      <c r="C61" s="33" t="s">
        <v>1276</v>
      </c>
      <c r="D61" s="32" t="s">
        <v>1277</v>
      </c>
      <c r="E61" s="32" t="s">
        <v>1278</v>
      </c>
      <c r="F61" s="32" t="s">
        <v>1279</v>
      </c>
      <c r="G61" s="33" t="s">
        <v>1280</v>
      </c>
    </row>
    <row r="62" spans="1:7" x14ac:dyDescent="0.25">
      <c r="A62" s="34" t="s">
        <v>1281</v>
      </c>
      <c r="B62" s="35" t="s">
        <v>1282</v>
      </c>
      <c r="C62" s="35" t="s">
        <v>1282</v>
      </c>
      <c r="D62" s="34" t="s">
        <v>1283</v>
      </c>
      <c r="E62" s="35" t="s">
        <v>1284</v>
      </c>
      <c r="F62" s="34" t="s">
        <v>1285</v>
      </c>
      <c r="G62" s="35" t="s">
        <v>1286</v>
      </c>
    </row>
    <row r="63" spans="1:7" x14ac:dyDescent="0.25">
      <c r="A63" s="32" t="s">
        <v>1287</v>
      </c>
      <c r="B63" s="33" t="s">
        <v>675</v>
      </c>
      <c r="C63" s="33" t="s">
        <v>1276</v>
      </c>
      <c r="D63" s="32" t="s">
        <v>1288</v>
      </c>
      <c r="E63" s="33" t="s">
        <v>1289</v>
      </c>
      <c r="F63" s="32" t="s">
        <v>1290</v>
      </c>
      <c r="G63" s="33" t="s">
        <v>1291</v>
      </c>
    </row>
    <row r="64" spans="1:7" x14ac:dyDescent="0.25">
      <c r="A64" s="34" t="s">
        <v>1292</v>
      </c>
      <c r="B64" s="35" t="s">
        <v>1293</v>
      </c>
      <c r="C64" s="35" t="s">
        <v>392</v>
      </c>
      <c r="D64" s="34" t="s">
        <v>1294</v>
      </c>
      <c r="E64" s="35" t="s">
        <v>1295</v>
      </c>
      <c r="F64" s="35" t="s">
        <v>1296</v>
      </c>
      <c r="G64" s="35" t="s">
        <v>386</v>
      </c>
    </row>
    <row r="65" spans="1:7" x14ac:dyDescent="0.25">
      <c r="A65" s="32" t="s">
        <v>1297</v>
      </c>
      <c r="B65" s="33" t="s">
        <v>1298</v>
      </c>
      <c r="C65" s="32" t="s">
        <v>1299</v>
      </c>
      <c r="D65" s="32" t="s">
        <v>1300</v>
      </c>
      <c r="E65" s="32" t="s">
        <v>1301</v>
      </c>
      <c r="F65" s="32" t="s">
        <v>1302</v>
      </c>
      <c r="G65" s="32" t="s">
        <v>1303</v>
      </c>
    </row>
    <row r="66" spans="1:7" x14ac:dyDescent="0.25">
      <c r="A66" s="34" t="s">
        <v>1304</v>
      </c>
      <c r="B66" s="35" t="s">
        <v>341</v>
      </c>
      <c r="C66" s="35" t="s">
        <v>1305</v>
      </c>
      <c r="D66" s="34" t="s">
        <v>1306</v>
      </c>
      <c r="E66" s="35" t="s">
        <v>386</v>
      </c>
      <c r="F66" s="35" t="s">
        <v>1307</v>
      </c>
      <c r="G66" s="34" t="s">
        <v>1308</v>
      </c>
    </row>
    <row r="67" spans="1:7" x14ac:dyDescent="0.25">
      <c r="A67" s="32" t="s">
        <v>1309</v>
      </c>
      <c r="B67" s="33" t="s">
        <v>1310</v>
      </c>
      <c r="C67" s="33" t="s">
        <v>1305</v>
      </c>
      <c r="D67" s="32" t="s">
        <v>1311</v>
      </c>
      <c r="E67" s="33" t="s">
        <v>1312</v>
      </c>
      <c r="F67" s="32" t="s">
        <v>1313</v>
      </c>
      <c r="G67" s="33" t="s">
        <v>386</v>
      </c>
    </row>
    <row r="68" spans="1:1" x14ac:dyDescent="0.25">
      <c r="A68" s="42" t="s">
        <v>1314</v>
      </c>
    </row>
    <row r="69" spans="1:1" x14ac:dyDescent="0.25">
      <c r="A69" s="2" t="s">
        <v>1315</v>
      </c>
    </row>
  </sheetData>
  <pageMargins left="0.5" right="0.5" top="0.6" bottom="0.6" header="0.3" footer="0.3"/>
  <pageSetup paperSize="1" orientation="landscape" fitToWidth="1" fitToHeight="0"/>
  <headerFooter>
    <oddFooter>&amp;LValuFlow · Organización Soriana, S.A.B. de C.V. · Tecnológico de Monterrey&amp;RPágina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Portada</vt:lpstr>
      <vt:lpstr>Supuestos</vt:lpstr>
      <vt:lpstr>WACC</vt:lpstr>
      <vt:lpstr>FCFF y valuación</vt:lpstr>
      <vt:lpstr>Transacciones SDC</vt:lpstr>
      <vt:lpstr>Combinada</vt:lpstr>
      <vt:lpstr>01 Resumen ejecutivo</vt:lpstr>
      <vt:lpstr>02 Contexto, objetivo y alcance</vt:lpstr>
      <vt:lpstr>03 Variables, fuentes y fechas</vt:lpstr>
      <vt:lpstr>04 Inflación y escenarios macro</vt:lpstr>
      <vt:lpstr>05 Beta y costo de la deuda</vt:lpstr>
      <vt:lpstr>06 CAPM y WACC</vt:lpstr>
      <vt:lpstr>07 Proyecciones operativas y FC</vt:lpstr>
      <vt:lpstr>08 Valor terminal</vt:lpstr>
      <vt:lpstr>09 Del Enterprise Value al prec</vt:lpstr>
      <vt:lpstr>10 Trading Comps</vt:lpstr>
      <vt:lpstr>11 Precedent Transactions (LSEG</vt:lpstr>
      <vt:lpstr>12 Contraste con S&amp;P Capital IQ</vt:lpstr>
      <vt:lpstr>13 Valuación combinada y recome</vt:lpstr>
      <vt:lpstr>14 Escenarios y sensibilidad</vt:lpstr>
      <vt:lpstr>15 Validaciones y auditoría del</vt:lpstr>
    </vt:vector>
  </TitlesOfParts>
  <Company>Tecnológico de Monterrey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Fermín Rodríguez Valades, Saúl González Loredo, Miguel Emilio Pérez García, Mauricio Fernandez Juarez, Francisco Aarón Ponce Flores</dc:creator>
  <dc:title>Valuación de Organización Soriana, S.A.B. de C.V.: DCF, múltiplos y transacciones precedentes</dc:title>
  <dc:subject>Valuación de Empresas</dc:subject>
  <dc:description/>
  <cp:keywords/>
  <cp:category/>
  <cp:lastModifiedBy>Unknown</cp:lastModifiedBy>
  <dcterms:created xsi:type="dcterms:W3CDTF">2026-10-19T20:01:56Z</dcterms:created>
  <dcterms:modified xsi:type="dcterms:W3CDTF">2026-10-19T20:01:56Z</dcterms:modified>
</cp:coreProperties>
</file>