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/>
  <mc:AlternateContent xmlns:mc="http://schemas.openxmlformats.org/markup-compatibility/2006">
    <mc:Choice Requires="x15">
      <x15ac:absPath xmlns:x15ac="http://schemas.microsoft.com/office/spreadsheetml/2010/11/ac" url="d:\Users\usuario\Desktop\MODELOS PRESUPUESTOS\"/>
    </mc:Choice>
  </mc:AlternateContent>
  <xr:revisionPtr revIDLastSave="0" documentId="13_ncr:1_{625B633D-43E0-433E-A0F2-8D364F0A082B}" xr6:coauthVersionLast="47" xr6:coauthVersionMax="47" xr10:uidLastSave="{00000000-0000-0000-0000-000000000000}"/>
  <bookViews>
    <workbookView xWindow="-120" yWindow="-120" windowWidth="29040" windowHeight="15840" firstSheet="1" activeTab="2" xr2:uid="{00000000-000D-0000-FFFF-FFFF00000000}"/>
  </bookViews>
  <sheets>
    <sheet name="ORDEN PEDIDO" sheetId="7" r:id="rId1"/>
    <sheet name="PRESUPUESTO" sheetId="1" r:id="rId2"/>
    <sheet name="COSTOS" sheetId="3" r:id="rId3"/>
    <sheet name="PRESUPUESTO (IMP PLANA) CLIENTE" sheetId="4" r:id="rId4"/>
    <sheet name="PRESUPUESTO (IMP CILIN) CLIENTE" sheetId="5" r:id="rId5"/>
  </sheets>
  <definedNames>
    <definedName name="_xlnm.Print_Area" localSheetId="0">'ORDEN PEDIDO'!$A$1:$F$47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5" i="7" l="1"/>
  <c r="B35" i="7"/>
  <c r="C16" i="1"/>
  <c r="D26" i="3" s="1"/>
  <c r="F10" i="1"/>
  <c r="E91" i="3"/>
  <c r="E33" i="7"/>
  <c r="B33" i="7"/>
  <c r="B21" i="7"/>
  <c r="E29" i="7"/>
  <c r="C29" i="7"/>
  <c r="B29" i="7"/>
  <c r="D9" i="7"/>
  <c r="B26" i="7"/>
  <c r="C12" i="7"/>
  <c r="B7" i="7"/>
  <c r="B3" i="7"/>
  <c r="G15" i="3"/>
  <c r="I1" i="1"/>
  <c r="F2" i="5" s="1"/>
  <c r="K41" i="1"/>
  <c r="K40" i="1" s="1"/>
  <c r="K30" i="1"/>
  <c r="K29" i="1" s="1"/>
  <c r="I10" i="1"/>
  <c r="F10" i="3" s="1"/>
  <c r="C20" i="3"/>
  <c r="G20" i="3" s="1"/>
  <c r="C26" i="3"/>
  <c r="B43" i="3"/>
  <c r="D43" i="3"/>
  <c r="E51" i="3"/>
  <c r="E50" i="3"/>
  <c r="E49" i="3"/>
  <c r="D73" i="3"/>
  <c r="J82" i="3" s="1"/>
  <c r="G82" i="3"/>
  <c r="D75" i="3"/>
  <c r="N86" i="3" s="1"/>
  <c r="H83" i="3"/>
  <c r="G83" i="3" s="1"/>
  <c r="M82" i="3"/>
  <c r="Q82" i="3"/>
  <c r="R82" i="3"/>
  <c r="H75" i="3"/>
  <c r="C27" i="3"/>
  <c r="C25" i="3"/>
  <c r="H2" i="3"/>
  <c r="C1" i="3"/>
  <c r="C2" i="3"/>
  <c r="E11" i="3"/>
  <c r="D25" i="3"/>
  <c r="B15" i="5"/>
  <c r="B13" i="5"/>
  <c r="B11" i="5"/>
  <c r="E19" i="5"/>
  <c r="C19" i="5"/>
  <c r="E17" i="5"/>
  <c r="B17" i="5"/>
  <c r="B4" i="5"/>
  <c r="G17" i="4"/>
  <c r="E17" i="4"/>
  <c r="C17" i="4"/>
  <c r="E19" i="4"/>
  <c r="B19" i="4"/>
  <c r="B13" i="4"/>
  <c r="E25" i="4"/>
  <c r="B25" i="4"/>
  <c r="E23" i="4"/>
  <c r="B23" i="4"/>
  <c r="E21" i="4"/>
  <c r="F15" i="4"/>
  <c r="B15" i="4"/>
  <c r="B11" i="4"/>
  <c r="B4" i="4"/>
  <c r="T82" i="3"/>
  <c r="P82" i="3"/>
  <c r="L82" i="3"/>
  <c r="E82" i="3"/>
  <c r="S82" i="3"/>
  <c r="O82" i="3"/>
  <c r="K82" i="3"/>
  <c r="D19" i="7"/>
  <c r="P85" i="3"/>
  <c r="G87" i="3"/>
  <c r="T84" i="3"/>
  <c r="B21" i="4"/>
  <c r="C87" i="3"/>
  <c r="C86" i="3" s="1"/>
  <c r="B85" i="3"/>
  <c r="B84" i="3" s="1"/>
  <c r="B83" i="3" s="1"/>
  <c r="M86" i="3"/>
  <c r="M85" i="3" s="1"/>
  <c r="K39" i="1"/>
  <c r="E44" i="1" s="1"/>
  <c r="F11" i="3" l="1"/>
  <c r="G11" i="3" s="1"/>
  <c r="H11" i="3" s="1"/>
  <c r="C82" i="3"/>
  <c r="B82" i="3"/>
  <c r="N82" i="3"/>
  <c r="D87" i="3"/>
  <c r="D86" i="3" s="1"/>
  <c r="D85" i="3" s="1"/>
  <c r="D84" i="3" s="1"/>
  <c r="C83" i="3" s="1"/>
  <c r="T83" i="3"/>
  <c r="S84" i="3"/>
  <c r="S83" i="3" s="1"/>
  <c r="E43" i="3"/>
  <c r="F87" i="3"/>
  <c r="F86" i="3" s="1"/>
  <c r="F85" i="3" s="1"/>
  <c r="F84" i="3" s="1"/>
  <c r="E83" i="3" s="1"/>
  <c r="K85" i="3"/>
  <c r="K84" i="3" s="1"/>
  <c r="K83" i="3" s="1"/>
  <c r="P84" i="3"/>
  <c r="P83" i="3" s="1"/>
  <c r="Q85" i="3"/>
  <c r="Q84" i="3" s="1"/>
  <c r="Q83" i="3" s="1"/>
  <c r="H87" i="3"/>
  <c r="H86" i="3" s="1"/>
  <c r="H85" i="3" s="1"/>
  <c r="H84" i="3" s="1"/>
  <c r="G25" i="3"/>
  <c r="G26" i="3"/>
  <c r="L30" i="1" s="1"/>
  <c r="L29" i="1" s="1"/>
  <c r="E26" i="1" s="1"/>
  <c r="B91" i="3"/>
  <c r="F91" i="3" s="1"/>
  <c r="E94" i="3" s="1"/>
  <c r="G10" i="3"/>
  <c r="H10" i="3" s="1"/>
  <c r="E26" i="7"/>
  <c r="B34" i="3"/>
  <c r="F34" i="3" s="1"/>
  <c r="E37" i="3" s="1"/>
  <c r="F16" i="1"/>
  <c r="C15" i="3"/>
  <c r="H16" i="3" s="1"/>
  <c r="K28" i="1" s="1"/>
  <c r="D27" i="3"/>
  <c r="G27" i="3" s="1"/>
  <c r="F12" i="3"/>
  <c r="G12" i="3" s="1"/>
  <c r="H12" i="3" s="1"/>
  <c r="F9" i="3"/>
  <c r="G9" i="3" s="1"/>
  <c r="H9" i="3" s="1"/>
  <c r="C85" i="3"/>
  <c r="C84" i="3" s="1"/>
  <c r="N85" i="3"/>
  <c r="N84" i="3" s="1"/>
  <c r="N83" i="3" s="1"/>
  <c r="E86" i="3"/>
  <c r="E85" i="3" s="1"/>
  <c r="E84" i="3" s="1"/>
  <c r="O85" i="3"/>
  <c r="O84" i="3" s="1"/>
  <c r="O83" i="3" s="1"/>
  <c r="G86" i="3"/>
  <c r="G85" i="3" s="1"/>
  <c r="G84" i="3" s="1"/>
  <c r="R86" i="3"/>
  <c r="R85" i="3" s="1"/>
  <c r="R84" i="3" s="1"/>
  <c r="R83" i="3" s="1"/>
  <c r="M84" i="3"/>
  <c r="M83" i="3" s="1"/>
  <c r="L85" i="3"/>
  <c r="L84" i="3" s="1"/>
  <c r="L83" i="3" s="1"/>
  <c r="J86" i="3"/>
  <c r="J85" i="3" s="1"/>
  <c r="J84" i="3" s="1"/>
  <c r="J83" i="3" s="1"/>
  <c r="F2" i="4"/>
  <c r="H1" i="3"/>
  <c r="D79" i="3" l="1"/>
  <c r="E95" i="3"/>
  <c r="E38" i="3"/>
  <c r="L33" i="1" s="1"/>
  <c r="L32" i="1" s="1"/>
  <c r="K27" i="1"/>
  <c r="K26" i="1" s="1"/>
  <c r="E52" i="1"/>
  <c r="E56" i="1" s="1"/>
  <c r="C27" i="4" s="1"/>
  <c r="F52" i="1" l="1"/>
  <c r="F56" i="1" s="1"/>
  <c r="E27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Gabriela</author>
    <author>...</author>
  </authors>
  <commentList>
    <comment ref="F14" authorId="0" shapeId="0" xr:uid="{00000000-0006-0000-0100-000001000000}">
      <text>
        <r>
          <rPr>
            <b/>
            <sz val="8"/>
            <color indexed="18"/>
            <rFont val="Tahoma"/>
            <family val="2"/>
          </rPr>
          <t>Especificar el/los colores en que se imprimirá el trabajo, por ej. Rojo - Azul y Negro</t>
        </r>
      </text>
    </comment>
    <comment ref="C20" authorId="0" shapeId="0" xr:uid="{00000000-0006-0000-0100-000002000000}">
      <text>
        <r>
          <rPr>
            <b/>
            <sz val="8"/>
            <color indexed="18"/>
            <rFont val="Tahoma"/>
            <family val="2"/>
          </rPr>
          <t>Elegir el material sobre el cual se imprimirá</t>
        </r>
      </text>
    </comment>
    <comment ref="C26" authorId="0" shapeId="0" xr:uid="{00000000-0006-0000-0100-000003000000}">
      <text>
        <r>
          <rPr>
            <b/>
            <sz val="8"/>
            <color indexed="18"/>
            <rFont val="Tahoma"/>
            <family val="2"/>
          </rPr>
          <t>Elegir el tipo de impresión que se realizará</t>
        </r>
      </text>
    </comment>
    <comment ref="C44" authorId="1" shapeId="0" xr:uid="{00000000-0006-0000-0100-000004000000}">
      <text>
        <r>
          <rPr>
            <b/>
            <sz val="8"/>
            <color indexed="81"/>
            <rFont val="Tahoma"/>
            <family val="2"/>
          </rPr>
          <t>...:</t>
        </r>
        <r>
          <rPr>
            <sz val="8"/>
            <color indexed="81"/>
            <rFont val="Tahoma"/>
            <family val="2"/>
          </rPr>
          <t xml:space="preserve">
Elegir el tipo de cinta</t>
        </r>
      </text>
    </comment>
  </commentList>
</comments>
</file>

<file path=xl/sharedStrings.xml><?xml version="1.0" encoding="utf-8"?>
<sst xmlns="http://schemas.openxmlformats.org/spreadsheetml/2006/main" count="229" uniqueCount="165">
  <si>
    <t>CLIENTE</t>
  </si>
  <si>
    <t>FECHA</t>
  </si>
  <si>
    <t>TRABAJO</t>
  </si>
  <si>
    <t>UNIDADES</t>
  </si>
  <si>
    <t>Material</t>
  </si>
  <si>
    <t>Datos del Pliego</t>
  </si>
  <si>
    <t>Espesor</t>
  </si>
  <si>
    <t>Posturas</t>
  </si>
  <si>
    <t>Superficie</t>
  </si>
  <si>
    <t>Volumen</t>
  </si>
  <si>
    <t>Ancho (cm)</t>
  </si>
  <si>
    <t>Largo (cm)</t>
  </si>
  <si>
    <t>Impresión</t>
  </si>
  <si>
    <t>Cant. Colores</t>
  </si>
  <si>
    <t>Colores</t>
  </si>
  <si>
    <t>Pliegos</t>
  </si>
  <si>
    <t>Pasadas</t>
  </si>
  <si>
    <t>Barniz</t>
  </si>
  <si>
    <t>Desarrollo Presupuesto</t>
  </si>
  <si>
    <t>PVC</t>
  </si>
  <si>
    <t>PAI</t>
  </si>
  <si>
    <t>Costo Material</t>
  </si>
  <si>
    <t>Tipo Cambio</t>
  </si>
  <si>
    <t>P.E.</t>
  </si>
  <si>
    <t>Kg. (u$s)</t>
  </si>
  <si>
    <t>Kg. ($)</t>
  </si>
  <si>
    <t>Peso</t>
  </si>
  <si>
    <t>Total Kg.</t>
  </si>
  <si>
    <t>Costo Final</t>
  </si>
  <si>
    <t>PVC Autoad.</t>
  </si>
  <si>
    <t>PET</t>
  </si>
  <si>
    <t>Polipropileno</t>
  </si>
  <si>
    <t>Cant. Pliegos</t>
  </si>
  <si>
    <t>u$s x Pl.</t>
  </si>
  <si>
    <t>$ x Pl.</t>
  </si>
  <si>
    <t>Costo Pelicula</t>
  </si>
  <si>
    <t>$ x cm2</t>
  </si>
  <si>
    <t>Costo x uni.</t>
  </si>
  <si>
    <t>Costo Tinta</t>
  </si>
  <si>
    <t>Convencional</t>
  </si>
  <si>
    <t>UV</t>
  </si>
  <si>
    <t>Costo Impresión</t>
  </si>
  <si>
    <t>Tipo Impresión</t>
  </si>
  <si>
    <t>Cant. Color</t>
  </si>
  <si>
    <t>$ x Pasada</t>
  </si>
  <si>
    <t>Costo Min.</t>
  </si>
  <si>
    <t>Tinta</t>
  </si>
  <si>
    <t>Sup. Total</t>
  </si>
  <si>
    <t>Tinta Rinde</t>
  </si>
  <si>
    <t>%</t>
  </si>
  <si>
    <t>Caras</t>
  </si>
  <si>
    <t>Lts. Necesarios</t>
  </si>
  <si>
    <t>u$s x Lt.</t>
  </si>
  <si>
    <t>$ x Lt.</t>
  </si>
  <si>
    <t>Corte</t>
  </si>
  <si>
    <t>Troquel</t>
  </si>
  <si>
    <t>Troquelado</t>
  </si>
  <si>
    <t>Armado</t>
  </si>
  <si>
    <t>Doblado</t>
  </si>
  <si>
    <t>Mano de Obra</t>
  </si>
  <si>
    <t>SubTotal</t>
  </si>
  <si>
    <t>Margen %</t>
  </si>
  <si>
    <t>Total Venta</t>
  </si>
  <si>
    <t>c/u</t>
  </si>
  <si>
    <t>Costo Mano de Obra</t>
  </si>
  <si>
    <t>Cant. Personal</t>
  </si>
  <si>
    <t>Jornal</t>
  </si>
  <si>
    <t>Días</t>
  </si>
  <si>
    <t>Sueldo</t>
  </si>
  <si>
    <t>Personal</t>
  </si>
  <si>
    <t>Bs. As.,</t>
  </si>
  <si>
    <t>PRESUPUESTO</t>
  </si>
  <si>
    <t>Trabajo</t>
  </si>
  <si>
    <t>Unidades</t>
  </si>
  <si>
    <t>AT: Sr./Sra.</t>
  </si>
  <si>
    <t>Por medio de la presente, me dirijo a Ud. Para informarle sobre el presupuesto requerido</t>
  </si>
  <si>
    <t>El detalle es el siguiente:</t>
  </si>
  <si>
    <t>Películas</t>
  </si>
  <si>
    <t>Shablón</t>
  </si>
  <si>
    <t>COSTO FINAL</t>
  </si>
  <si>
    <t>c/ unidad</t>
  </si>
  <si>
    <t>(IVA NO Incluido)</t>
  </si>
  <si>
    <t>Sin otro particular, saluda atentamente.</t>
  </si>
  <si>
    <t>Mariano Serigrafía</t>
  </si>
  <si>
    <t>Fco. Lacroze 154, Ciudadela</t>
  </si>
  <si>
    <t>Tel:</t>
  </si>
  <si>
    <t>e-mail:</t>
  </si>
  <si>
    <t>Demasía de impresión</t>
  </si>
  <si>
    <t>Tipo de Impresión</t>
  </si>
  <si>
    <r>
      <t xml:space="preserve">FORMA DE PAGO: </t>
    </r>
    <r>
      <rPr>
        <sz val="8"/>
        <rFont val="Arial"/>
        <family val="2"/>
      </rPr>
      <t>50 % de adelanto, saldo contra entrega.</t>
    </r>
  </si>
  <si>
    <r>
      <t xml:space="preserve">PLAZO DE ENTREGA: </t>
    </r>
    <r>
      <rPr>
        <sz val="8"/>
        <rFont val="Arial"/>
        <family val="2"/>
      </rPr>
      <t>de 7 a 15 días.</t>
    </r>
  </si>
  <si>
    <t>Plana</t>
  </si>
  <si>
    <t>Cilíndrica</t>
  </si>
  <si>
    <t>Originales</t>
  </si>
  <si>
    <t>Cantidad</t>
  </si>
  <si>
    <t>Material Presupuestado</t>
  </si>
  <si>
    <t>Recargo x color (x unid.)</t>
  </si>
  <si>
    <t>Película</t>
  </si>
  <si>
    <r>
      <t xml:space="preserve">FORMA DE PAGO: </t>
    </r>
    <r>
      <rPr>
        <sz val="8"/>
        <rFont val="Arial"/>
        <family val="2"/>
      </rPr>
      <t>50 % de adelanto, saldo contra entrega. (Por pago adelantado 5 % de descuento)</t>
    </r>
  </si>
  <si>
    <t>Cant.colores</t>
  </si>
  <si>
    <t>Detalle colores</t>
  </si>
  <si>
    <t>ORDEN DE PEDIDO</t>
  </si>
  <si>
    <t>Medidas pliego</t>
  </si>
  <si>
    <t>ancho</t>
  </si>
  <si>
    <t>largo</t>
  </si>
  <si>
    <t>espesor</t>
  </si>
  <si>
    <t xml:space="preserve">                     Printers Serigrafia</t>
  </si>
  <si>
    <t xml:space="preserve">              Fco.Lacroze 2935 - Ciudadela</t>
  </si>
  <si>
    <t xml:space="preserve">                    Tel/Fax : 4657-2841</t>
  </si>
  <si>
    <t>unidades</t>
  </si>
  <si>
    <t>ancho - cm</t>
  </si>
  <si>
    <t>alto - cm</t>
  </si>
  <si>
    <t xml:space="preserve">   E-mail: printers@printersserigrafia.com.ar</t>
  </si>
  <si>
    <t>Costo Barniz</t>
  </si>
  <si>
    <t>0=SIN BARNIZ</t>
  </si>
  <si>
    <t>1=CON BARNIZ</t>
  </si>
  <si>
    <t xml:space="preserve">     Printers S.H</t>
  </si>
  <si>
    <t>Juan Carlos Mariano</t>
  </si>
  <si>
    <t>PLAZO DE ENTREGA:  a convenir</t>
  </si>
  <si>
    <t>3M</t>
  </si>
  <si>
    <t>Tipos de Cinta</t>
  </si>
  <si>
    <t>Bifaz Esponjosa</t>
  </si>
  <si>
    <t>Bifaz Finita</t>
  </si>
  <si>
    <t>Largo Rollo</t>
  </si>
  <si>
    <t>Precio Rollo</t>
  </si>
  <si>
    <t>Aplicación de Cinta</t>
  </si>
  <si>
    <t>Embalaje</t>
  </si>
  <si>
    <t>Varios</t>
  </si>
  <si>
    <t>Bifaz Fija</t>
  </si>
  <si>
    <t>Costo Final por cm</t>
  </si>
  <si>
    <t>Cinta cm</t>
  </si>
  <si>
    <t>numero</t>
  </si>
  <si>
    <t>cliente :</t>
  </si>
  <si>
    <t>publicidad :</t>
  </si>
  <si>
    <t>trabajo :</t>
  </si>
  <si>
    <t>cantidad :</t>
  </si>
  <si>
    <t>cantidad de colores :</t>
  </si>
  <si>
    <t>detalle :</t>
  </si>
  <si>
    <t>1-</t>
  </si>
  <si>
    <t>2-</t>
  </si>
  <si>
    <t>3-</t>
  </si>
  <si>
    <t>4-</t>
  </si>
  <si>
    <t>5-</t>
  </si>
  <si>
    <t>6-</t>
  </si>
  <si>
    <t>PARA TERMOFORMAR / DOBLAR:</t>
  </si>
  <si>
    <t xml:space="preserve">     SI </t>
  </si>
  <si>
    <t xml:space="preserve">    NO </t>
  </si>
  <si>
    <t xml:space="preserve">material : </t>
  </si>
  <si>
    <t xml:space="preserve">cant.material: </t>
  </si>
  <si>
    <t>PLIEGOS</t>
  </si>
  <si>
    <t>med. pliego :</t>
  </si>
  <si>
    <t>espesor :</t>
  </si>
  <si>
    <t>observaciones :</t>
  </si>
  <si>
    <t>fecha de recepción :</t>
  </si>
  <si>
    <t>fecha de entrega :</t>
  </si>
  <si>
    <t>firma :</t>
  </si>
  <si>
    <t>imprimió :</t>
  </si>
  <si>
    <t>cantidad impresa:</t>
  </si>
  <si>
    <t>BARNIZ</t>
  </si>
  <si>
    <t>impresiòn:</t>
  </si>
  <si>
    <t>troquelado:</t>
  </si>
  <si>
    <t>cinta bifaz:</t>
  </si>
  <si>
    <t>doblado:</t>
  </si>
  <si>
    <t>corte:</t>
  </si>
  <si>
    <t>0.80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</si>
</sst>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dd\-mm\-yy"/>
    <numFmt numFmtId="165" formatCode="0.000"/>
    <numFmt numFmtId="166" formatCode="[$$-2C0A]\ #,##0.00;[Red][$$-2C0A]\ \-#,##0.00"/>
    <numFmt numFmtId="167" formatCode="[$$-2C0A]\ #,##0.00"/>
    <numFmt numFmtId="168" formatCode="[$$-2C0A]\ #,##0.000"/>
    <numFmt numFmtId="169" formatCode="0.0000"/>
    <numFmt numFmtId="170" formatCode="[$$-2C0A]\ #,##0.0000"/>
    <numFmt numFmtId="171" formatCode="d\ &quot;de&quot;\ mmmm\ &quot;de&quot;\ yyyy"/>
    <numFmt numFmtId="172" formatCode="[$$-2C0A]\ #,##0"/>
    <numFmt numFmtId="173" formatCode="[$-2C0A]d&quot; de &quot;mmmm&quot; de &quot;yyyy;@"/>
    <numFmt numFmtId="174" formatCode="dd/mm/yyyy;@"/>
    <numFmt numFmtId="175" formatCode="[$$-2C0A]\ #,##0.00000;[Red][$$-2C0A]\ \-#,##0.00000"/>
    <numFmt numFmtId="176" formatCode="d/m/yy;@"/>
  </numFmts>
  <fonts count="4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9"/>
      <name val="Arial"/>
      <family val="2"/>
    </font>
    <font>
      <u/>
      <sz val="10"/>
      <name val="Arial"/>
      <family val="2"/>
    </font>
    <font>
      <b/>
      <sz val="10"/>
      <color indexed="18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8"/>
      <color indexed="18"/>
      <name val="Tahoma"/>
      <family val="2"/>
    </font>
    <font>
      <b/>
      <sz val="12"/>
      <color indexed="8"/>
      <name val="Arial"/>
      <family val="2"/>
    </font>
    <font>
      <sz val="10"/>
      <color indexed="18"/>
      <name val="Arial"/>
      <family val="2"/>
    </font>
    <font>
      <b/>
      <sz val="10"/>
      <color indexed="8"/>
      <name val="Arial"/>
      <family val="2"/>
    </font>
    <font>
      <sz val="8"/>
      <name val="Tahoma"/>
      <family val="2"/>
    </font>
    <font>
      <b/>
      <sz val="14"/>
      <color indexed="12"/>
      <name val="Arial"/>
      <family val="2"/>
    </font>
    <font>
      <b/>
      <sz val="8"/>
      <color indexed="17"/>
      <name val="Tahoma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color indexed="8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Comic Sans MS"/>
      <family val="4"/>
    </font>
    <font>
      <sz val="7"/>
      <name val="Arial"/>
      <family val="2"/>
    </font>
    <font>
      <b/>
      <u/>
      <sz val="10"/>
      <color indexed="12"/>
      <name val="Arial"/>
      <family val="2"/>
    </font>
    <font>
      <sz val="9"/>
      <name val="Arial"/>
      <family val="2"/>
    </font>
    <font>
      <b/>
      <sz val="14"/>
      <name val="Tahoma"/>
      <family val="2"/>
    </font>
    <font>
      <b/>
      <sz val="10"/>
      <name val="Tahoma"/>
      <family val="2"/>
    </font>
    <font>
      <b/>
      <sz val="18"/>
      <color indexed="10"/>
      <name val="Tahoma"/>
      <family val="2"/>
    </font>
    <font>
      <sz val="12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0"/>
      <name val="Tahoma"/>
      <family val="2"/>
    </font>
    <font>
      <b/>
      <sz val="8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sz val="11"/>
      <name val="Tahoma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u/>
      <sz val="1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ashDot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ashDot">
        <color indexed="64"/>
      </top>
      <bottom style="dashDot">
        <color indexed="64"/>
      </bottom>
      <diagonal/>
    </border>
    <border>
      <left/>
      <right style="dotted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1" fillId="0" borderId="0" applyNumberFormat="0" applyFill="0" applyBorder="0" applyAlignment="0" applyProtection="0">
      <alignment vertical="top"/>
      <protection locked="0"/>
    </xf>
  </cellStyleXfs>
  <cellXfs count="224">
    <xf numFmtId="0" fontId="0" fillId="0" borderId="0" xfId="0"/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0" fontId="6" fillId="0" borderId="0" xfId="0" applyFont="1"/>
    <xf numFmtId="1" fontId="0" fillId="0" borderId="2" xfId="0" applyNumberFormat="1" applyBorder="1" applyAlignment="1">
      <alignment horizontal="center" vertical="center"/>
    </xf>
    <xf numFmtId="0" fontId="2" fillId="0" borderId="0" xfId="0" applyFont="1"/>
    <xf numFmtId="0" fontId="7" fillId="0" borderId="0" xfId="0" applyFont="1" applyAlignment="1">
      <alignment horizontal="center" vertical="center"/>
    </xf>
    <xf numFmtId="0" fontId="0" fillId="0" borderId="3" xfId="0" applyBorder="1"/>
    <xf numFmtId="0" fontId="2" fillId="0" borderId="2" xfId="0" applyFont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indent="1"/>
    </xf>
    <xf numFmtId="166" fontId="9" fillId="3" borderId="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167" fontId="9" fillId="3" borderId="2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1" xfId="0" applyFont="1" applyBorder="1"/>
    <xf numFmtId="167" fontId="7" fillId="0" borderId="0" xfId="0" applyNumberFormat="1" applyFont="1" applyAlignment="1">
      <alignment horizontal="center" vertical="center"/>
    </xf>
    <xf numFmtId="0" fontId="0" fillId="0" borderId="4" xfId="0" applyBorder="1"/>
    <xf numFmtId="0" fontId="8" fillId="0" borderId="0" xfId="0" applyFont="1"/>
    <xf numFmtId="0" fontId="0" fillId="0" borderId="0" xfId="0" applyAlignment="1">
      <alignment vertical="center"/>
    </xf>
    <xf numFmtId="167" fontId="0" fillId="0" borderId="0" xfId="0" applyNumberFormat="1"/>
    <xf numFmtId="0" fontId="13" fillId="4" borderId="2" xfId="0" applyFont="1" applyFill="1" applyBorder="1" applyAlignment="1">
      <alignment horizontal="center" vertical="center"/>
    </xf>
    <xf numFmtId="0" fontId="2" fillId="0" borderId="5" xfId="0" applyFont="1" applyBorder="1"/>
    <xf numFmtId="167" fontId="7" fillId="0" borderId="1" xfId="0" applyNumberFormat="1" applyFont="1" applyBorder="1" applyAlignment="1">
      <alignment horizontal="center"/>
    </xf>
    <xf numFmtId="0" fontId="7" fillId="0" borderId="1" xfId="0" applyFont="1" applyBorder="1"/>
    <xf numFmtId="0" fontId="2" fillId="5" borderId="6" xfId="0" applyFont="1" applyFill="1" applyBorder="1" applyAlignment="1">
      <alignment horizontal="center" vertical="center"/>
    </xf>
    <xf numFmtId="0" fontId="0" fillId="0" borderId="5" xfId="0" applyBorder="1"/>
    <xf numFmtId="0" fontId="0" fillId="4" borderId="2" xfId="0" applyFill="1" applyBorder="1" applyAlignment="1">
      <alignment horizontal="center"/>
    </xf>
    <xf numFmtId="167" fontId="13" fillId="5" borderId="7" xfId="0" applyNumberFormat="1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170" fontId="13" fillId="5" borderId="7" xfId="0" applyNumberFormat="1" applyFont="1" applyFill="1" applyBorder="1" applyAlignment="1">
      <alignment horizontal="center" vertical="center"/>
    </xf>
    <xf numFmtId="166" fontId="5" fillId="6" borderId="2" xfId="0" applyNumberFormat="1" applyFont="1" applyFill="1" applyBorder="1" applyAlignment="1">
      <alignment horizontal="center" vertical="center"/>
    </xf>
    <xf numFmtId="170" fontId="5" fillId="6" borderId="7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7" fillId="7" borderId="2" xfId="0" applyFont="1" applyFill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165" fontId="7" fillId="7" borderId="2" xfId="0" applyNumberFormat="1" applyFont="1" applyFill="1" applyBorder="1" applyAlignment="1">
      <alignment horizontal="center" vertical="center"/>
    </xf>
    <xf numFmtId="3" fontId="7" fillId="7" borderId="2" xfId="0" applyNumberFormat="1" applyFont="1" applyFill="1" applyBorder="1" applyAlignment="1">
      <alignment horizontal="center" vertical="center"/>
    </xf>
    <xf numFmtId="167" fontId="7" fillId="7" borderId="2" xfId="0" applyNumberFormat="1" applyFont="1" applyFill="1" applyBorder="1" applyAlignment="1">
      <alignment horizontal="center" vertical="center"/>
    </xf>
    <xf numFmtId="167" fontId="7" fillId="7" borderId="2" xfId="0" applyNumberFormat="1" applyFont="1" applyFill="1" applyBorder="1" applyAlignment="1">
      <alignment horizontal="center"/>
    </xf>
    <xf numFmtId="9" fontId="7" fillId="7" borderId="2" xfId="0" applyNumberFormat="1" applyFont="1" applyFill="1" applyBorder="1" applyAlignment="1">
      <alignment horizontal="center" vertical="center"/>
    </xf>
    <xf numFmtId="0" fontId="2" fillId="7" borderId="2" xfId="0" applyFont="1" applyFill="1" applyBorder="1" applyAlignment="1">
      <alignment vertical="center"/>
    </xf>
    <xf numFmtId="2" fontId="12" fillId="7" borderId="2" xfId="0" applyNumberFormat="1" applyFont="1" applyFill="1" applyBorder="1" applyAlignment="1">
      <alignment horizontal="center" vertical="center"/>
    </xf>
    <xf numFmtId="4" fontId="12" fillId="7" borderId="2" xfId="0" applyNumberFormat="1" applyFont="1" applyFill="1" applyBorder="1" applyAlignment="1">
      <alignment horizontal="center" vertical="center"/>
    </xf>
    <xf numFmtId="167" fontId="0" fillId="7" borderId="2" xfId="0" applyNumberFormat="1" applyFill="1" applyBorder="1" applyAlignment="1">
      <alignment horizontal="center" vertical="center"/>
    </xf>
    <xf numFmtId="169" fontId="0" fillId="7" borderId="2" xfId="0" applyNumberFormat="1" applyFill="1" applyBorder="1" applyAlignment="1">
      <alignment horizontal="center" vertical="center"/>
    </xf>
    <xf numFmtId="165" fontId="0" fillId="7" borderId="2" xfId="0" applyNumberFormat="1" applyFill="1" applyBorder="1" applyAlignment="1">
      <alignment horizontal="center" vertical="center"/>
    </xf>
    <xf numFmtId="167" fontId="12" fillId="7" borderId="2" xfId="0" applyNumberFormat="1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1" fontId="0" fillId="7" borderId="2" xfId="0" applyNumberFormat="1" applyFill="1" applyBorder="1" applyAlignment="1">
      <alignment horizontal="center" vertical="center"/>
    </xf>
    <xf numFmtId="166" fontId="0" fillId="7" borderId="2" xfId="0" applyNumberForma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168" fontId="12" fillId="7" borderId="2" xfId="0" applyNumberFormat="1" applyFont="1" applyFill="1" applyBorder="1" applyAlignment="1">
      <alignment horizontal="center" vertical="center"/>
    </xf>
    <xf numFmtId="0" fontId="0" fillId="7" borderId="2" xfId="0" applyFill="1" applyBorder="1" applyAlignment="1">
      <alignment vertical="center"/>
    </xf>
    <xf numFmtId="3" fontId="0" fillId="7" borderId="2" xfId="0" applyNumberFormat="1" applyFill="1" applyBorder="1" applyAlignment="1">
      <alignment horizontal="center" vertical="center"/>
    </xf>
    <xf numFmtId="9" fontId="12" fillId="7" borderId="2" xfId="0" applyNumberFormat="1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15" fillId="0" borderId="4" xfId="0" applyFont="1" applyBorder="1"/>
    <xf numFmtId="0" fontId="0" fillId="0" borderId="8" xfId="0" applyBorder="1"/>
    <xf numFmtId="0" fontId="2" fillId="0" borderId="0" xfId="0" applyFont="1" applyAlignment="1">
      <alignment horizontal="right"/>
    </xf>
    <xf numFmtId="3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7" fontId="12" fillId="0" borderId="0" xfId="0" applyNumberFormat="1" applyFont="1" applyAlignment="1">
      <alignment horizontal="center" vertical="center"/>
    </xf>
    <xf numFmtId="167" fontId="9" fillId="0" borderId="0" xfId="0" applyNumberFormat="1" applyFont="1" applyAlignment="1">
      <alignment horizontal="center" vertical="center"/>
    </xf>
    <xf numFmtId="0" fontId="16" fillId="0" borderId="0" xfId="0" applyFont="1"/>
    <xf numFmtId="0" fontId="17" fillId="0" borderId="0" xfId="0" applyFont="1" applyAlignment="1">
      <alignment horizontal="left"/>
    </xf>
    <xf numFmtId="0" fontId="17" fillId="0" borderId="0" xfId="0" applyFont="1"/>
    <xf numFmtId="0" fontId="16" fillId="0" borderId="1" xfId="0" applyFont="1" applyBorder="1"/>
    <xf numFmtId="170" fontId="19" fillId="7" borderId="7" xfId="0" applyNumberFormat="1" applyFont="1" applyFill="1" applyBorder="1" applyAlignment="1">
      <alignment horizontal="center" vertical="center"/>
    </xf>
    <xf numFmtId="0" fontId="19" fillId="7" borderId="6" xfId="0" applyFont="1" applyFill="1" applyBorder="1" applyAlignment="1">
      <alignment vertical="center"/>
    </xf>
    <xf numFmtId="0" fontId="18" fillId="0" borderId="0" xfId="0" applyFont="1"/>
    <xf numFmtId="0" fontId="11" fillId="2" borderId="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1" fillId="0" borderId="0" xfId="0" applyFont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11" fillId="0" borderId="0" xfId="0" applyFont="1" applyAlignment="1">
      <alignment horizontal="center" vertical="center"/>
    </xf>
    <xf numFmtId="0" fontId="24" fillId="0" borderId="2" xfId="1" applyFont="1" applyBorder="1" applyAlignment="1" applyProtection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/>
    <xf numFmtId="0" fontId="20" fillId="0" borderId="0" xfId="0" applyFont="1" applyAlignment="1">
      <alignment vertical="center"/>
    </xf>
    <xf numFmtId="0" fontId="14" fillId="0" borderId="1" xfId="0" applyFont="1" applyBorder="1"/>
    <xf numFmtId="0" fontId="2" fillId="7" borderId="6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0" fillId="0" borderId="10" xfId="0" applyBorder="1"/>
    <xf numFmtId="0" fontId="18" fillId="0" borderId="5" xfId="0" applyFont="1" applyBorder="1"/>
    <xf numFmtId="3" fontId="2" fillId="7" borderId="2" xfId="0" applyNumberFormat="1" applyFont="1" applyFill="1" applyBorder="1" applyAlignment="1">
      <alignment horizontal="center" vertical="center"/>
    </xf>
    <xf numFmtId="0" fontId="2" fillId="0" borderId="7" xfId="0" applyFont="1" applyBorder="1"/>
    <xf numFmtId="0" fontId="20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8" fillId="0" borderId="10" xfId="0" applyFont="1" applyBorder="1"/>
    <xf numFmtId="0" fontId="25" fillId="0" borderId="1" xfId="0" applyFont="1" applyBorder="1"/>
    <xf numFmtId="0" fontId="20" fillId="7" borderId="2" xfId="0" applyFont="1" applyFill="1" applyBorder="1" applyAlignment="1">
      <alignment horizontal="center" vertical="center"/>
    </xf>
    <xf numFmtId="0" fontId="26" fillId="0" borderId="0" xfId="0" applyFont="1"/>
    <xf numFmtId="0" fontId="27" fillId="0" borderId="0" xfId="0" applyFont="1"/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31" fillId="0" borderId="0" xfId="0" applyFont="1"/>
    <xf numFmtId="0" fontId="32" fillId="0" borderId="0" xfId="0" applyFont="1"/>
    <xf numFmtId="0" fontId="27" fillId="0" borderId="0" xfId="0" applyFont="1" applyAlignment="1">
      <alignment horizontal="left"/>
    </xf>
    <xf numFmtId="0" fontId="32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14" fontId="27" fillId="0" borderId="0" xfId="0" applyNumberFormat="1" applyFont="1" applyAlignment="1">
      <alignment horizontal="center"/>
    </xf>
    <xf numFmtId="0" fontId="29" fillId="0" borderId="0" xfId="0" applyFont="1" applyAlignment="1">
      <alignment horizontal="left"/>
    </xf>
    <xf numFmtId="0" fontId="30" fillId="0" borderId="0" xfId="0" applyFont="1" applyAlignment="1">
      <alignment horizontal="left"/>
    </xf>
    <xf numFmtId="0" fontId="29" fillId="0" borderId="0" xfId="0" applyFont="1" applyAlignment="1">
      <alignment horizontal="center"/>
    </xf>
    <xf numFmtId="0" fontId="24" fillId="0" borderId="0" xfId="1" applyFont="1" applyAlignment="1" applyProtection="1"/>
    <xf numFmtId="167" fontId="7" fillId="7" borderId="7" xfId="0" applyNumberFormat="1" applyFont="1" applyFill="1" applyBorder="1" applyAlignment="1">
      <alignment horizontal="center" vertical="center"/>
    </xf>
    <xf numFmtId="0" fontId="18" fillId="7" borderId="0" xfId="0" applyFont="1" applyFill="1" applyAlignment="1">
      <alignment horizontal="left" vertical="center"/>
    </xf>
    <xf numFmtId="167" fontId="12" fillId="7" borderId="0" xfId="0" applyNumberFormat="1" applyFont="1" applyFill="1" applyAlignment="1">
      <alignment horizontal="center" vertical="center"/>
    </xf>
    <xf numFmtId="168" fontId="12" fillId="7" borderId="0" xfId="0" applyNumberFormat="1" applyFont="1" applyFill="1" applyAlignment="1">
      <alignment horizontal="center" vertical="center"/>
    </xf>
    <xf numFmtId="0" fontId="0" fillId="7" borderId="0" xfId="0" applyFill="1"/>
    <xf numFmtId="3" fontId="2" fillId="7" borderId="0" xfId="0" applyNumberFormat="1" applyFont="1" applyFill="1" applyAlignment="1">
      <alignment horizontal="center" vertical="center"/>
    </xf>
    <xf numFmtId="167" fontId="20" fillId="7" borderId="0" xfId="0" applyNumberFormat="1" applyFont="1" applyFill="1" applyAlignment="1">
      <alignment horizontal="center" vertical="center"/>
    </xf>
    <xf numFmtId="167" fontId="7" fillId="7" borderId="0" xfId="0" applyNumberFormat="1" applyFont="1" applyFill="1" applyAlignment="1">
      <alignment horizontal="center" vertical="center"/>
    </xf>
    <xf numFmtId="0" fontId="36" fillId="4" borderId="2" xfId="0" applyFont="1" applyFill="1" applyBorder="1" applyAlignment="1">
      <alignment horizontal="center" vertical="center"/>
    </xf>
    <xf numFmtId="0" fontId="37" fillId="7" borderId="2" xfId="0" applyFont="1" applyFill="1" applyBorder="1" applyAlignment="1">
      <alignment horizontal="center" vertical="center"/>
    </xf>
    <xf numFmtId="0" fontId="2" fillId="7" borderId="0" xfId="0" applyFont="1" applyFill="1"/>
    <xf numFmtId="0" fontId="7" fillId="7" borderId="0" xfId="0" applyFont="1" applyFill="1" applyAlignment="1">
      <alignment horizontal="center" vertical="center"/>
    </xf>
    <xf numFmtId="172" fontId="7" fillId="7" borderId="0" xfId="0" applyNumberFormat="1" applyFont="1" applyFill="1" applyAlignment="1">
      <alignment horizontal="center" vertical="center"/>
    </xf>
    <xf numFmtId="0" fontId="22" fillId="7" borderId="0" xfId="0" applyFont="1" applyFill="1"/>
    <xf numFmtId="0" fontId="7" fillId="7" borderId="0" xfId="0" applyFont="1" applyFill="1"/>
    <xf numFmtId="167" fontId="13" fillId="7" borderId="0" xfId="0" applyNumberFormat="1" applyFont="1" applyFill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15" fillId="7" borderId="0" xfId="0" applyFont="1" applyFill="1"/>
    <xf numFmtId="167" fontId="5" fillId="7" borderId="0" xfId="0" applyNumberFormat="1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30" fillId="0" borderId="0" xfId="0" applyFont="1"/>
    <xf numFmtId="0" fontId="30" fillId="0" borderId="0" xfId="0" applyFont="1" applyAlignment="1">
      <alignment horizontal="center"/>
    </xf>
    <xf numFmtId="174" fontId="27" fillId="0" borderId="0" xfId="0" applyNumberFormat="1" applyFont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left"/>
    </xf>
    <xf numFmtId="0" fontId="30" fillId="0" borderId="11" xfId="0" applyFont="1" applyBorder="1" applyAlignment="1">
      <alignment horizontal="left"/>
    </xf>
    <xf numFmtId="0" fontId="40" fillId="0" borderId="11" xfId="0" applyFont="1" applyBorder="1" applyAlignment="1">
      <alignment horizontal="left"/>
    </xf>
    <xf numFmtId="0" fontId="41" fillId="0" borderId="0" xfId="0" applyFont="1" applyAlignment="1">
      <alignment horizontal="left"/>
    </xf>
    <xf numFmtId="0" fontId="30" fillId="0" borderId="11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0" fontId="29" fillId="0" borderId="12" xfId="0" applyFont="1" applyBorder="1" applyAlignment="1">
      <alignment horizontal="left"/>
    </xf>
    <xf numFmtId="0" fontId="41" fillId="0" borderId="0" xfId="0" applyFont="1"/>
    <xf numFmtId="0" fontId="29" fillId="0" borderId="0" xfId="0" applyFont="1"/>
    <xf numFmtId="20" fontId="29" fillId="0" borderId="0" xfId="0" applyNumberFormat="1" applyFont="1" applyAlignment="1">
      <alignment horizontal="right"/>
    </xf>
    <xf numFmtId="0" fontId="30" fillId="0" borderId="11" xfId="0" applyFont="1" applyBorder="1"/>
    <xf numFmtId="0" fontId="29" fillId="0" borderId="0" xfId="0" applyFont="1" applyAlignment="1">
      <alignment horizontal="right"/>
    </xf>
    <xf numFmtId="0" fontId="30" fillId="0" borderId="13" xfId="0" applyFont="1" applyBorder="1"/>
    <xf numFmtId="0" fontId="30" fillId="0" borderId="13" xfId="0" applyFont="1" applyBorder="1" applyAlignment="1">
      <alignment horizontal="center"/>
    </xf>
    <xf numFmtId="0" fontId="30" fillId="0" borderId="13" xfId="0" applyFont="1" applyBorder="1" applyAlignment="1">
      <alignment horizontal="left"/>
    </xf>
    <xf numFmtId="0" fontId="39" fillId="0" borderId="0" xfId="0" applyFont="1"/>
    <xf numFmtId="0" fontId="42" fillId="0" borderId="0" xfId="0" applyFont="1"/>
    <xf numFmtId="0" fontId="1" fillId="0" borderId="0" xfId="0" applyFont="1"/>
    <xf numFmtId="0" fontId="29" fillId="0" borderId="12" xfId="0" applyFont="1" applyBorder="1"/>
    <xf numFmtId="0" fontId="39" fillId="0" borderId="0" xfId="0" applyFont="1" applyAlignment="1">
      <alignment horizontal="center"/>
    </xf>
    <xf numFmtId="1" fontId="29" fillId="0" borderId="0" xfId="0" applyNumberFormat="1" applyFont="1" applyAlignment="1">
      <alignment horizontal="center"/>
    </xf>
    <xf numFmtId="176" fontId="30" fillId="0" borderId="11" xfId="0" applyNumberFormat="1" applyFont="1" applyBorder="1" applyAlignment="1">
      <alignment horizontal="center"/>
    </xf>
    <xf numFmtId="0" fontId="29" fillId="0" borderId="11" xfId="0" applyFont="1" applyBorder="1"/>
    <xf numFmtId="3" fontId="30" fillId="0" borderId="11" xfId="0" applyNumberFormat="1" applyFont="1" applyBorder="1" applyAlignment="1">
      <alignment horizontal="center"/>
    </xf>
    <xf numFmtId="1" fontId="30" fillId="0" borderId="11" xfId="0" applyNumberFormat="1" applyFont="1" applyBorder="1" applyAlignment="1">
      <alignment horizontal="center"/>
    </xf>
    <xf numFmtId="0" fontId="43" fillId="0" borderId="0" xfId="0" applyFont="1" applyAlignment="1">
      <alignment horizontal="left"/>
    </xf>
    <xf numFmtId="0" fontId="27" fillId="0" borderId="14" xfId="0" applyFont="1" applyBorder="1"/>
    <xf numFmtId="0" fontId="39" fillId="0" borderId="11" xfId="0" applyFont="1" applyBorder="1" applyAlignment="1">
      <alignment horizontal="center"/>
    </xf>
    <xf numFmtId="0" fontId="29" fillId="0" borderId="11" xfId="0" applyFont="1" applyBorder="1" applyAlignment="1">
      <alignment horizontal="center"/>
    </xf>
    <xf numFmtId="0" fontId="26" fillId="0" borderId="11" xfId="0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4" fillId="0" borderId="2" xfId="1" applyFont="1" applyBorder="1" applyAlignment="1" applyProtection="1">
      <alignment horizontal="center" vertical="center"/>
    </xf>
    <xf numFmtId="0" fontId="11" fillId="2" borderId="7" xfId="0" applyFont="1" applyFill="1" applyBorder="1" applyAlignment="1">
      <alignment horizontal="left" vertical="center" indent="1"/>
    </xf>
    <xf numFmtId="0" fontId="11" fillId="2" borderId="10" xfId="0" applyFont="1" applyFill="1" applyBorder="1" applyAlignment="1">
      <alignment horizontal="left" vertical="center" indent="1"/>
    </xf>
    <xf numFmtId="0" fontId="11" fillId="2" borderId="6" xfId="0" applyFont="1" applyFill="1" applyBorder="1" applyAlignment="1">
      <alignment horizontal="left" vertical="center" indent="1"/>
    </xf>
    <xf numFmtId="174" fontId="4" fillId="7" borderId="7" xfId="0" applyNumberFormat="1" applyFont="1" applyFill="1" applyBorder="1" applyAlignment="1">
      <alignment horizontal="left" vertical="center" indent="1"/>
    </xf>
    <xf numFmtId="174" fontId="4" fillId="7" borderId="6" xfId="0" applyNumberFormat="1" applyFont="1" applyFill="1" applyBorder="1" applyAlignment="1">
      <alignment horizontal="left" vertical="center" indent="1"/>
    </xf>
    <xf numFmtId="0" fontId="4" fillId="7" borderId="2" xfId="0" applyFont="1" applyFill="1" applyBorder="1" applyAlignment="1">
      <alignment horizontal="left" vertical="center" indent="1"/>
    </xf>
    <xf numFmtId="0" fontId="11" fillId="2" borderId="2" xfId="0" applyFont="1" applyFill="1" applyBorder="1" applyAlignment="1">
      <alignment horizontal="left" vertical="center" indent="1"/>
    </xf>
    <xf numFmtId="0" fontId="11" fillId="2" borderId="9" xfId="0" applyFont="1" applyFill="1" applyBorder="1" applyAlignment="1">
      <alignment horizontal="left" vertical="center" indent="1"/>
    </xf>
    <xf numFmtId="0" fontId="4" fillId="7" borderId="15" xfId="0" applyFont="1" applyFill="1" applyBorder="1" applyAlignment="1">
      <alignment horizontal="left" vertical="center" indent="1"/>
    </xf>
    <xf numFmtId="0" fontId="4" fillId="7" borderId="0" xfId="0" applyFont="1" applyFill="1" applyAlignment="1">
      <alignment horizontal="left" vertical="center" indent="1"/>
    </xf>
    <xf numFmtId="0" fontId="4" fillId="7" borderId="16" xfId="0" applyFont="1" applyFill="1" applyBorder="1" applyAlignment="1">
      <alignment horizontal="left" vertical="center" indent="1"/>
    </xf>
    <xf numFmtId="0" fontId="3" fillId="7" borderId="0" xfId="0" applyFont="1" applyFill="1" applyAlignment="1">
      <alignment horizontal="left" vertical="center" indent="1"/>
    </xf>
    <xf numFmtId="0" fontId="7" fillId="7" borderId="0" xfId="0" applyFont="1" applyFill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0" fontId="7" fillId="7" borderId="10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0" fillId="0" borderId="7" xfId="0" applyBorder="1"/>
    <xf numFmtId="0" fontId="0" fillId="0" borderId="6" xfId="0" applyBorder="1"/>
    <xf numFmtId="166" fontId="9" fillId="3" borderId="2" xfId="0" applyNumberFormat="1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1" fontId="0" fillId="7" borderId="2" xfId="0" applyNumberForma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left" vertical="center" indent="1"/>
    </xf>
    <xf numFmtId="0" fontId="4" fillId="7" borderId="10" xfId="0" applyFont="1" applyFill="1" applyBorder="1" applyAlignment="1">
      <alignment horizontal="left" vertical="center" indent="1"/>
    </xf>
    <xf numFmtId="0" fontId="9" fillId="3" borderId="2" xfId="0" applyFont="1" applyFill="1" applyBorder="1" applyAlignment="1">
      <alignment horizontal="center" vertical="center"/>
    </xf>
    <xf numFmtId="175" fontId="9" fillId="3" borderId="2" xfId="0" applyNumberFormat="1" applyFont="1" applyFill="1" applyBorder="1" applyAlignment="1">
      <alignment horizontal="center" vertical="center"/>
    </xf>
    <xf numFmtId="164" fontId="4" fillId="7" borderId="3" xfId="0" applyNumberFormat="1" applyFont="1" applyFill="1" applyBorder="1" applyAlignment="1">
      <alignment horizontal="left" vertical="center" indent="1"/>
    </xf>
    <xf numFmtId="164" fontId="4" fillId="7" borderId="1" xfId="0" applyNumberFormat="1" applyFont="1" applyFill="1" applyBorder="1" applyAlignment="1">
      <alignment horizontal="left" vertical="center" indent="1"/>
    </xf>
    <xf numFmtId="0" fontId="3" fillId="2" borderId="7" xfId="0" applyFont="1" applyFill="1" applyBorder="1" applyAlignment="1">
      <alignment horizontal="left" vertical="center" indent="1"/>
    </xf>
    <xf numFmtId="0" fontId="3" fillId="2" borderId="10" xfId="0" applyFont="1" applyFill="1" applyBorder="1" applyAlignment="1">
      <alignment horizontal="left" vertical="center" indent="1"/>
    </xf>
    <xf numFmtId="0" fontId="3" fillId="2" borderId="6" xfId="0" applyFont="1" applyFill="1" applyBorder="1" applyAlignment="1">
      <alignment horizontal="left" vertical="center" indent="1"/>
    </xf>
    <xf numFmtId="0" fontId="2" fillId="4" borderId="7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 indent="1"/>
    </xf>
    <xf numFmtId="0" fontId="4" fillId="7" borderId="1" xfId="0" applyFont="1" applyFill="1" applyBorder="1" applyAlignment="1">
      <alignment horizontal="left" vertical="center" indent="1"/>
    </xf>
    <xf numFmtId="0" fontId="18" fillId="7" borderId="0" xfId="0" applyFont="1" applyFill="1" applyAlignment="1">
      <alignment horizontal="left" vertical="center"/>
    </xf>
    <xf numFmtId="0" fontId="23" fillId="7" borderId="0" xfId="0" applyFont="1" applyFill="1" applyAlignment="1">
      <alignment horizontal="left" vertical="center"/>
    </xf>
    <xf numFmtId="0" fontId="18" fillId="7" borderId="0" xfId="0" applyFont="1" applyFill="1" applyAlignment="1">
      <alignment horizontal="center" vertical="center"/>
    </xf>
    <xf numFmtId="172" fontId="9" fillId="3" borderId="7" xfId="0" applyNumberFormat="1" applyFont="1" applyFill="1" applyBorder="1" applyAlignment="1">
      <alignment horizontal="center" vertical="center"/>
    </xf>
    <xf numFmtId="172" fontId="9" fillId="3" borderId="6" xfId="0" applyNumberFormat="1" applyFont="1" applyFill="1" applyBorder="1" applyAlignment="1">
      <alignment horizontal="center" vertical="center"/>
    </xf>
    <xf numFmtId="167" fontId="7" fillId="7" borderId="7" xfId="0" applyNumberFormat="1" applyFont="1" applyFill="1" applyBorder="1" applyAlignment="1">
      <alignment horizontal="center" vertical="center"/>
    </xf>
    <xf numFmtId="167" fontId="7" fillId="7" borderId="6" xfId="0" applyNumberFormat="1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/>
    </xf>
    <xf numFmtId="173" fontId="0" fillId="0" borderId="0" xfId="0" applyNumberFormat="1" applyAlignment="1">
      <alignment horizontal="right"/>
    </xf>
    <xf numFmtId="0" fontId="3" fillId="7" borderId="18" xfId="0" applyFont="1" applyFill="1" applyBorder="1" applyAlignment="1">
      <alignment horizontal="center" vertical="center"/>
    </xf>
    <xf numFmtId="0" fontId="3" fillId="7" borderId="19" xfId="0" applyFont="1" applyFill="1" applyBorder="1" applyAlignment="1">
      <alignment horizontal="center" vertical="center"/>
    </xf>
    <xf numFmtId="0" fontId="3" fillId="7" borderId="20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7" fillId="7" borderId="7" xfId="0" applyFont="1" applyFill="1" applyBorder="1" applyAlignment="1">
      <alignment horizontal="center" vertical="center"/>
    </xf>
    <xf numFmtId="0" fontId="17" fillId="7" borderId="10" xfId="0" applyFont="1" applyFill="1" applyBorder="1" applyAlignment="1">
      <alignment horizontal="center" vertical="center"/>
    </xf>
    <xf numFmtId="0" fontId="19" fillId="0" borderId="4" xfId="0" applyFont="1" applyBorder="1" applyAlignment="1">
      <alignment horizontal="left"/>
    </xf>
    <xf numFmtId="167" fontId="19" fillId="7" borderId="7" xfId="0" applyNumberFormat="1" applyFont="1" applyFill="1" applyBorder="1" applyAlignment="1">
      <alignment horizontal="center" vertical="center"/>
    </xf>
    <xf numFmtId="167" fontId="19" fillId="7" borderId="6" xfId="0" applyNumberFormat="1" applyFont="1" applyFill="1" applyBorder="1" applyAlignment="1">
      <alignment horizontal="center" vertical="center"/>
    </xf>
    <xf numFmtId="171" fontId="0" fillId="0" borderId="0" xfId="0" applyNumberFormat="1" applyAlignment="1">
      <alignment horizontal="right"/>
    </xf>
    <xf numFmtId="0" fontId="2" fillId="0" borderId="0" xfId="0" applyFont="1" applyAlignment="1">
      <alignment horizontal="center" vertical="center"/>
    </xf>
  </cellXfs>
  <cellStyles count="2">
    <cellStyle name="Hipervínculo" xfId="1" builtinId="8"/>
    <cellStyle name="Normal" xfId="0" builtinId="0"/>
  </cellStyles>
  <dxfs count="3">
    <dxf>
      <font>
        <b/>
        <i val="0"/>
        <condense val="0"/>
        <extend val="0"/>
      </font>
      <fill>
        <patternFill>
          <bgColor indexed="40"/>
        </patternFill>
      </fill>
    </dxf>
    <dxf>
      <font>
        <b/>
        <i val="0"/>
        <condense val="0"/>
        <extend val="0"/>
      </font>
      <fill>
        <patternFill>
          <bgColor indexed="40"/>
        </patternFill>
      </fill>
    </dxf>
    <dxf>
      <fill>
        <patternFill>
          <bgColor indexed="48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22</xdr:row>
      <xdr:rowOff>7620</xdr:rowOff>
    </xdr:from>
    <xdr:to>
      <xdr:col>3</xdr:col>
      <xdr:colOff>733629</xdr:colOff>
      <xdr:row>23</xdr:row>
      <xdr:rowOff>30480</xdr:rowOff>
    </xdr:to>
    <xdr:sp macro="" textlink="">
      <xdr:nvSpPr>
        <xdr:cNvPr id="4124" name="Oval 28">
          <a:extLst>
            <a:ext uri="{FF2B5EF4-FFF2-40B4-BE49-F238E27FC236}">
              <a16:creationId xmlns:a16="http://schemas.microsoft.com/office/drawing/2014/main" id="{00000000-0008-0000-0000-00001C100000}"/>
            </a:ext>
          </a:extLst>
        </xdr:cNvPr>
        <xdr:cNvSpPr>
          <a:spLocks noChangeArrowheads="1"/>
        </xdr:cNvSpPr>
      </xdr:nvSpPr>
      <xdr:spPr bwMode="auto">
        <a:xfrm>
          <a:off x="3307080" y="4145280"/>
          <a:ext cx="251460" cy="21336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endParaRPr lang="es-AR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s-A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4</xdr:col>
      <xdr:colOff>487680</xdr:colOff>
      <xdr:row>22</xdr:row>
      <xdr:rowOff>7620</xdr:rowOff>
    </xdr:from>
    <xdr:to>
      <xdr:col>4</xdr:col>
      <xdr:colOff>731520</xdr:colOff>
      <xdr:row>23</xdr:row>
      <xdr:rowOff>30480</xdr:rowOff>
    </xdr:to>
    <xdr:sp macro="" textlink="">
      <xdr:nvSpPr>
        <xdr:cNvPr id="4210" name="Oval 29">
          <a:extLst>
            <a:ext uri="{FF2B5EF4-FFF2-40B4-BE49-F238E27FC236}">
              <a16:creationId xmlns:a16="http://schemas.microsoft.com/office/drawing/2014/main" id="{00000000-0008-0000-0000-000072100000}"/>
            </a:ext>
          </a:extLst>
        </xdr:cNvPr>
        <xdr:cNvSpPr>
          <a:spLocks noChangeArrowheads="1"/>
        </xdr:cNvSpPr>
      </xdr:nvSpPr>
      <xdr:spPr bwMode="auto">
        <a:xfrm>
          <a:off x="4160520" y="4145280"/>
          <a:ext cx="243840" cy="21336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6"/>
  <sheetViews>
    <sheetView topLeftCell="A9" workbookViewId="0">
      <selection activeCell="F44" sqref="F44"/>
    </sheetView>
  </sheetViews>
  <sheetFormatPr baseColWidth="10" defaultRowHeight="12.75" x14ac:dyDescent="0.2"/>
  <cols>
    <col min="1" max="1" width="14.7109375" customWidth="1"/>
    <col min="2" max="2" width="12.85546875" customWidth="1"/>
    <col min="3" max="3" width="13.5703125" customWidth="1"/>
    <col min="4" max="4" width="12.42578125" customWidth="1"/>
    <col min="5" max="6" width="11.5703125" bestFit="1" customWidth="1"/>
  </cols>
  <sheetData>
    <row r="1" spans="1:8" ht="23.25" x14ac:dyDescent="0.35">
      <c r="A1" s="95"/>
      <c r="B1" s="95" t="s">
        <v>101</v>
      </c>
      <c r="C1" s="95"/>
      <c r="D1" s="95"/>
      <c r="E1" s="103" t="s">
        <v>131</v>
      </c>
      <c r="F1" s="133"/>
    </row>
    <row r="2" spans="1:8" ht="15" customHeight="1" x14ac:dyDescent="0.2">
      <c r="A2" s="130"/>
      <c r="B2" s="130"/>
      <c r="C2" s="130"/>
      <c r="D2" s="130"/>
      <c r="E2" s="130"/>
      <c r="F2" s="130"/>
    </row>
    <row r="3" spans="1:8" ht="15" customHeight="1" x14ac:dyDescent="0.25">
      <c r="A3" s="134" t="s">
        <v>132</v>
      </c>
      <c r="B3" s="135">
        <f>PRESUPUESTO!C1</f>
        <v>0</v>
      </c>
      <c r="C3" s="136"/>
      <c r="D3" s="107"/>
      <c r="E3" s="107"/>
      <c r="F3" s="107"/>
    </row>
    <row r="4" spans="1:8" ht="15" customHeight="1" x14ac:dyDescent="0.3">
      <c r="A4" s="134"/>
      <c r="B4" s="107"/>
      <c r="C4" s="107"/>
      <c r="D4" s="107"/>
      <c r="E4" s="107"/>
      <c r="F4" s="107"/>
      <c r="G4" s="98"/>
      <c r="H4" s="96"/>
    </row>
    <row r="5" spans="1:8" ht="15" customHeight="1" x14ac:dyDescent="0.2">
      <c r="A5" s="134" t="s">
        <v>133</v>
      </c>
      <c r="B5" s="135"/>
      <c r="C5" s="135"/>
      <c r="D5" s="107"/>
      <c r="E5" s="107"/>
      <c r="F5" s="107"/>
      <c r="G5" s="96"/>
      <c r="H5" s="96"/>
    </row>
    <row r="6" spans="1:8" ht="15" customHeight="1" x14ac:dyDescent="0.2">
      <c r="A6" s="134"/>
      <c r="B6" s="107"/>
      <c r="C6" s="107"/>
      <c r="D6" s="107"/>
      <c r="E6" s="107"/>
      <c r="F6" s="107"/>
      <c r="G6" s="96"/>
      <c r="H6" s="96"/>
    </row>
    <row r="7" spans="1:8" ht="15" customHeight="1" x14ac:dyDescent="0.2">
      <c r="A7" s="134" t="s">
        <v>134</v>
      </c>
      <c r="B7" s="135">
        <f>PRESUPUESTO!C2</f>
        <v>0</v>
      </c>
      <c r="C7" s="135"/>
      <c r="D7" s="135"/>
      <c r="E7" s="135"/>
      <c r="F7" s="107"/>
      <c r="G7" s="96"/>
      <c r="H7" s="96"/>
    </row>
    <row r="8" spans="1:8" ht="15" customHeight="1" x14ac:dyDescent="0.2">
      <c r="A8" s="134"/>
      <c r="B8" s="106"/>
      <c r="C8" s="106"/>
      <c r="D8" s="106"/>
      <c r="E8" s="106"/>
      <c r="F8" s="106"/>
      <c r="G8" s="96"/>
      <c r="H8" s="96"/>
    </row>
    <row r="9" spans="1:8" ht="15" customHeight="1" x14ac:dyDescent="0.2">
      <c r="A9" s="137"/>
      <c r="B9" s="137"/>
      <c r="C9" s="134" t="s">
        <v>135</v>
      </c>
      <c r="D9" s="138">
        <f>PRESUPUESTO!I2</f>
        <v>0</v>
      </c>
      <c r="E9" s="134" t="s">
        <v>109</v>
      </c>
      <c r="F9" s="137"/>
      <c r="G9" s="130"/>
      <c r="H9" s="130"/>
    </row>
    <row r="10" spans="1:8" ht="9" customHeight="1" thickBot="1" x14ac:dyDescent="0.25">
      <c r="A10" s="139"/>
      <c r="B10" s="139"/>
      <c r="C10" s="140"/>
      <c r="D10" s="139"/>
      <c r="E10" s="140"/>
      <c r="F10" s="140"/>
      <c r="G10" s="96"/>
      <c r="H10" s="96"/>
    </row>
    <row r="11" spans="1:8" ht="9" customHeight="1" thickTop="1" x14ac:dyDescent="0.2">
      <c r="A11" s="106"/>
      <c r="B11" s="141"/>
      <c r="C11" s="106"/>
      <c r="D11" s="141"/>
      <c r="E11" s="106"/>
      <c r="F11" s="142"/>
      <c r="G11" s="96"/>
      <c r="H11" s="96"/>
    </row>
    <row r="12" spans="1:8" ht="15" customHeight="1" x14ac:dyDescent="0.2">
      <c r="A12" s="134" t="s">
        <v>136</v>
      </c>
      <c r="B12" s="134"/>
      <c r="C12" s="157">
        <f>PRESUPUESTO!C14</f>
        <v>0</v>
      </c>
      <c r="D12" s="130"/>
      <c r="E12" s="130"/>
      <c r="F12" s="130"/>
      <c r="G12" s="96"/>
      <c r="H12" s="96"/>
    </row>
    <row r="13" spans="1:8" ht="15" customHeight="1" x14ac:dyDescent="0.2">
      <c r="A13" s="141"/>
      <c r="B13" s="142"/>
      <c r="C13" s="130"/>
      <c r="D13" s="130"/>
      <c r="E13" s="130"/>
      <c r="F13" s="130"/>
      <c r="G13" s="96"/>
      <c r="H13" s="96"/>
    </row>
    <row r="14" spans="1:8" ht="15" customHeight="1" x14ac:dyDescent="0.2">
      <c r="A14" s="134" t="s">
        <v>137</v>
      </c>
      <c r="B14" s="143" t="s">
        <v>138</v>
      </c>
      <c r="C14" s="144"/>
      <c r="D14" s="144"/>
      <c r="E14" s="144"/>
      <c r="F14" s="130"/>
      <c r="G14" s="96"/>
      <c r="H14" s="96"/>
    </row>
    <row r="15" spans="1:8" ht="15" customHeight="1" x14ac:dyDescent="0.2">
      <c r="A15" s="142"/>
      <c r="B15" s="145" t="s">
        <v>139</v>
      </c>
      <c r="C15" s="146"/>
      <c r="D15" s="146"/>
      <c r="E15" s="146"/>
      <c r="F15" s="130"/>
      <c r="G15" s="97"/>
      <c r="H15" s="97"/>
    </row>
    <row r="16" spans="1:8" ht="15" customHeight="1" x14ac:dyDescent="0.2">
      <c r="A16" s="141"/>
      <c r="B16" s="145" t="s">
        <v>140</v>
      </c>
      <c r="C16" s="146"/>
      <c r="D16" s="147"/>
      <c r="E16" s="148"/>
      <c r="F16" s="131"/>
      <c r="G16" s="96"/>
      <c r="H16" s="96"/>
    </row>
    <row r="17" spans="1:8" ht="15" customHeight="1" x14ac:dyDescent="0.2">
      <c r="A17" s="142"/>
      <c r="B17" s="145" t="s">
        <v>141</v>
      </c>
      <c r="C17" s="148"/>
      <c r="D17" s="146"/>
      <c r="E17" s="146"/>
      <c r="F17" s="130"/>
      <c r="G17" s="101"/>
      <c r="H17" s="96"/>
    </row>
    <row r="18" spans="1:8" ht="15" customHeight="1" x14ac:dyDescent="0.2">
      <c r="A18" s="142"/>
      <c r="B18" s="145" t="s">
        <v>142</v>
      </c>
      <c r="C18" s="148"/>
      <c r="D18" s="146"/>
      <c r="E18" s="146"/>
      <c r="F18" s="130"/>
      <c r="G18" s="96"/>
      <c r="H18" s="96"/>
    </row>
    <row r="19" spans="1:8" ht="15" customHeight="1" x14ac:dyDescent="0.2">
      <c r="A19" s="142"/>
      <c r="B19" s="145" t="s">
        <v>143</v>
      </c>
      <c r="C19" s="148" t="s">
        <v>158</v>
      </c>
      <c r="D19" s="147" t="str">
        <f>IF(PRESUPUESTO!E30=0,"No","Si")</f>
        <v>No</v>
      </c>
      <c r="E19" s="146"/>
      <c r="F19" s="130"/>
      <c r="G19" s="96"/>
      <c r="H19" s="96"/>
    </row>
    <row r="20" spans="1:8" ht="15" customHeight="1" x14ac:dyDescent="0.2">
      <c r="A20" s="106"/>
      <c r="B20" s="106"/>
      <c r="C20" s="108"/>
      <c r="D20" s="106"/>
      <c r="E20" s="141"/>
      <c r="F20" s="141"/>
      <c r="G20" s="96"/>
      <c r="H20" s="96"/>
    </row>
    <row r="21" spans="1:8" ht="15" customHeight="1" x14ac:dyDescent="0.25">
      <c r="A21" s="108" t="s">
        <v>159</v>
      </c>
      <c r="B21" s="163" t="str">
        <f>PRESUPUESTO!C26</f>
        <v>Convencional</v>
      </c>
      <c r="C21" s="156"/>
      <c r="D21" s="134"/>
      <c r="E21" s="134"/>
      <c r="F21" s="150"/>
      <c r="G21" s="108"/>
      <c r="H21" s="130"/>
    </row>
    <row r="22" spans="1:8" ht="15" customHeight="1" x14ac:dyDescent="0.2">
      <c r="A22" s="151"/>
      <c r="B22" s="151"/>
      <c r="C22" s="151"/>
      <c r="D22" s="151"/>
      <c r="E22" s="151"/>
      <c r="F22" s="151"/>
      <c r="G22" s="100"/>
      <c r="H22" s="96"/>
    </row>
    <row r="23" spans="1:8" ht="15" customHeight="1" x14ac:dyDescent="0.2">
      <c r="A23" s="142"/>
      <c r="B23" s="108" t="s">
        <v>144</v>
      </c>
      <c r="C23" s="108"/>
      <c r="D23" s="142" t="s">
        <v>145</v>
      </c>
      <c r="E23" s="142" t="s">
        <v>146</v>
      </c>
      <c r="F23" s="141"/>
      <c r="G23" s="102"/>
      <c r="H23" s="96"/>
    </row>
    <row r="24" spans="1:8" ht="9" customHeight="1" thickBot="1" x14ac:dyDescent="0.25">
      <c r="A24" s="152"/>
      <c r="B24" s="152"/>
      <c r="C24" s="152"/>
      <c r="D24" s="152"/>
      <c r="E24" s="139"/>
      <c r="F24" s="139"/>
      <c r="G24" s="97"/>
      <c r="H24" s="96"/>
    </row>
    <row r="25" spans="1:8" ht="9" customHeight="1" thickTop="1" x14ac:dyDescent="0.2">
      <c r="A25" s="142"/>
      <c r="B25" s="142"/>
      <c r="C25" s="142"/>
      <c r="D25" s="142"/>
      <c r="E25" s="108"/>
      <c r="F25" s="108"/>
      <c r="G25" s="97"/>
      <c r="H25" s="96"/>
    </row>
    <row r="26" spans="1:8" ht="15" customHeight="1" x14ac:dyDescent="0.2">
      <c r="A26" s="134" t="s">
        <v>147</v>
      </c>
      <c r="B26" s="135" t="str">
        <f>PRESUPUESTO!C20</f>
        <v>PVC Autoad.</v>
      </c>
      <c r="C26" s="135"/>
      <c r="D26" s="134" t="s">
        <v>148</v>
      </c>
      <c r="E26" s="158" t="e">
        <f>PRESUPUESTO!C16</f>
        <v>#DIV/0!</v>
      </c>
      <c r="F26" s="149" t="s">
        <v>149</v>
      </c>
      <c r="G26" s="97"/>
      <c r="H26" s="96"/>
    </row>
    <row r="27" spans="1:8" ht="15" customHeight="1" x14ac:dyDescent="0.2">
      <c r="A27" s="142"/>
      <c r="B27" s="142"/>
      <c r="C27" s="142"/>
      <c r="D27" s="142"/>
      <c r="E27" s="142"/>
      <c r="F27" s="142"/>
      <c r="G27" s="130"/>
      <c r="H27" s="160"/>
    </row>
    <row r="28" spans="1:8" ht="15" customHeight="1" x14ac:dyDescent="0.2">
      <c r="A28" s="142"/>
      <c r="B28" s="142"/>
      <c r="C28" s="142"/>
      <c r="D28" s="142"/>
      <c r="E28" s="142"/>
      <c r="F28" s="142"/>
      <c r="G28" s="96"/>
      <c r="H28" s="96"/>
    </row>
    <row r="29" spans="1:8" ht="15" customHeight="1" x14ac:dyDescent="0.2">
      <c r="A29" s="149" t="s">
        <v>150</v>
      </c>
      <c r="B29" s="138">
        <f>PRESUPUESTO!C8</f>
        <v>0</v>
      </c>
      <c r="C29" s="138">
        <f>PRESUPUESTO!F8</f>
        <v>0</v>
      </c>
      <c r="D29" s="134" t="s">
        <v>151</v>
      </c>
      <c r="E29" s="138">
        <f>PRESUPUESTO!I8</f>
        <v>0</v>
      </c>
      <c r="F29" s="142"/>
      <c r="G29" s="96"/>
      <c r="H29" s="96"/>
    </row>
    <row r="30" spans="1:8" ht="15" customHeight="1" x14ac:dyDescent="0.2">
      <c r="A30" s="142"/>
      <c r="B30" s="153" t="s">
        <v>110</v>
      </c>
      <c r="C30" s="153" t="s">
        <v>111</v>
      </c>
      <c r="D30" s="150"/>
      <c r="E30" s="142"/>
      <c r="F30" s="142"/>
      <c r="G30" s="130"/>
      <c r="H30" s="96"/>
    </row>
    <row r="31" spans="1:8" ht="9" customHeight="1" thickBot="1" x14ac:dyDescent="0.25">
      <c r="A31" s="152"/>
      <c r="B31" s="152"/>
      <c r="C31" s="139"/>
      <c r="D31" s="139"/>
      <c r="E31" s="139"/>
      <c r="F31" s="152"/>
      <c r="G31" s="96"/>
      <c r="H31" s="96"/>
    </row>
    <row r="32" spans="1:8" ht="9" customHeight="1" thickTop="1" x14ac:dyDescent="0.2">
      <c r="G32" s="99"/>
      <c r="H32" s="99"/>
    </row>
    <row r="33" spans="1:8" ht="15" customHeight="1" x14ac:dyDescent="0.2">
      <c r="A33" s="106" t="s">
        <v>160</v>
      </c>
      <c r="B33" s="138" t="str">
        <f>IF(PRESUPUESTO!E36=0,"NO","SI")</f>
        <v>NO</v>
      </c>
      <c r="C33" s="131"/>
      <c r="D33" s="142" t="s">
        <v>161</v>
      </c>
      <c r="E33" s="135" t="str">
        <f>PRESUPUESTO!C44</f>
        <v>Bifaz Esponjosa</v>
      </c>
      <c r="F33" s="144"/>
      <c r="G33" s="99"/>
      <c r="H33" s="99"/>
    </row>
    <row r="34" spans="1:8" ht="15" customHeight="1" x14ac:dyDescent="0.2">
      <c r="D34" s="131"/>
      <c r="E34" s="131"/>
      <c r="F34" s="131"/>
      <c r="G34" s="99"/>
      <c r="H34" s="99"/>
    </row>
    <row r="35" spans="1:8" s="142" customFormat="1" ht="15" customHeight="1" x14ac:dyDescent="0.2">
      <c r="A35" s="142" t="s">
        <v>162</v>
      </c>
      <c r="B35" s="138" t="str">
        <f>IF(PRESUPUESTO!E40=0,"NO","SI")</f>
        <v>NO</v>
      </c>
      <c r="D35" s="106" t="s">
        <v>163</v>
      </c>
      <c r="E35" s="138" t="str">
        <f>IF(PRESUPUESTO!E32=0,"NO","SI")</f>
        <v>NO</v>
      </c>
      <c r="F35" s="108"/>
    </row>
    <row r="36" spans="1:8" ht="15" customHeight="1" x14ac:dyDescent="0.2">
      <c r="A36" s="131"/>
      <c r="B36" s="131"/>
      <c r="C36" s="131"/>
      <c r="D36" s="131"/>
      <c r="E36" s="131"/>
      <c r="F36" s="131"/>
      <c r="G36" s="97"/>
      <c r="H36" s="97"/>
    </row>
    <row r="37" spans="1:8" ht="15" customHeight="1" x14ac:dyDescent="0.2">
      <c r="G37" s="97"/>
      <c r="H37" s="103"/>
    </row>
    <row r="38" spans="1:8" ht="15" customHeight="1" x14ac:dyDescent="0.2">
      <c r="A38" s="159" t="s">
        <v>152</v>
      </c>
      <c r="B38" s="161"/>
      <c r="C38" s="162"/>
      <c r="D38" s="162"/>
      <c r="E38" s="162"/>
      <c r="F38" s="162"/>
      <c r="G38" s="97"/>
      <c r="H38" s="97"/>
    </row>
    <row r="39" spans="1:8" ht="15" customHeight="1" x14ac:dyDescent="0.2">
      <c r="A39" s="142"/>
      <c r="B39" s="154"/>
      <c r="C39" s="108"/>
      <c r="D39" s="108"/>
      <c r="E39" s="108"/>
      <c r="F39" s="108"/>
      <c r="G39" s="97"/>
      <c r="H39" s="97"/>
    </row>
    <row r="40" spans="1:8" ht="15" customHeight="1" x14ac:dyDescent="0.2">
      <c r="A40" s="142"/>
      <c r="B40" s="154"/>
      <c r="C40" s="108"/>
      <c r="D40" s="108"/>
      <c r="E40" s="108"/>
      <c r="F40" s="108"/>
      <c r="G40" s="97"/>
      <c r="H40" s="97"/>
    </row>
    <row r="41" spans="1:8" ht="15" customHeight="1" x14ac:dyDescent="0.2">
      <c r="A41" s="134" t="s">
        <v>153</v>
      </c>
      <c r="B41" s="134"/>
      <c r="C41" s="155"/>
      <c r="D41" s="149" t="s">
        <v>154</v>
      </c>
      <c r="E41" s="149"/>
      <c r="F41" s="138"/>
      <c r="G41" s="97"/>
      <c r="H41" s="97"/>
    </row>
    <row r="42" spans="1:8" ht="15" customHeight="1" x14ac:dyDescent="0.2">
      <c r="G42" s="96"/>
      <c r="H42" s="96"/>
    </row>
    <row r="43" spans="1:8" ht="15" customHeight="1" x14ac:dyDescent="0.2">
      <c r="A43" s="108"/>
      <c r="B43" s="108"/>
      <c r="C43" s="108"/>
      <c r="D43" s="142"/>
      <c r="E43" s="108"/>
      <c r="F43" s="108"/>
      <c r="G43" s="130"/>
      <c r="H43" s="130"/>
    </row>
    <row r="44" spans="1:8" ht="15" customHeight="1" x14ac:dyDescent="0.2">
      <c r="A44" s="142"/>
      <c r="B44" s="149" t="s">
        <v>155</v>
      </c>
      <c r="C44" s="156"/>
      <c r="D44" s="156"/>
      <c r="E44" s="142"/>
      <c r="F44" s="142"/>
      <c r="G44" s="97"/>
      <c r="H44" s="96"/>
    </row>
    <row r="45" spans="1:8" ht="15" customHeight="1" x14ac:dyDescent="0.2">
      <c r="A45" s="142"/>
      <c r="B45" s="149"/>
      <c r="C45" s="142"/>
      <c r="D45" s="142"/>
      <c r="E45" s="142"/>
      <c r="F45" s="142"/>
      <c r="G45" s="97"/>
      <c r="H45" s="96"/>
    </row>
    <row r="46" spans="1:8" ht="15" customHeight="1" x14ac:dyDescent="0.2">
      <c r="A46" s="142"/>
      <c r="B46" s="142"/>
      <c r="C46" s="151"/>
      <c r="D46" s="108"/>
      <c r="E46" s="142"/>
      <c r="F46" s="142"/>
      <c r="G46" s="131"/>
      <c r="H46" s="130"/>
    </row>
    <row r="47" spans="1:8" ht="15" customHeight="1" x14ac:dyDescent="0.2">
      <c r="A47" s="106" t="s">
        <v>156</v>
      </c>
      <c r="B47" s="156"/>
      <c r="C47" s="142"/>
      <c r="D47" s="142" t="s">
        <v>157</v>
      </c>
      <c r="E47" s="142"/>
      <c r="F47" s="142"/>
      <c r="G47" s="97"/>
      <c r="H47" s="96"/>
    </row>
    <row r="48" spans="1:8" x14ac:dyDescent="0.2">
      <c r="A48" s="97"/>
      <c r="B48" s="97"/>
      <c r="C48" s="97"/>
      <c r="D48" s="96"/>
      <c r="E48" s="104"/>
      <c r="F48" s="97"/>
      <c r="G48" s="97"/>
      <c r="H48" s="96"/>
    </row>
    <row r="49" spans="1:8" ht="14.25" x14ac:dyDescent="0.2">
      <c r="A49" s="96"/>
      <c r="B49" s="96"/>
      <c r="C49" s="132"/>
      <c r="D49" s="99"/>
      <c r="E49" s="96"/>
      <c r="F49" s="96"/>
      <c r="G49" s="97"/>
      <c r="H49" s="96"/>
    </row>
    <row r="50" spans="1:8" x14ac:dyDescent="0.2">
      <c r="A50" s="97"/>
      <c r="B50" s="97"/>
      <c r="C50" s="97"/>
      <c r="D50" s="96"/>
      <c r="E50" s="97"/>
      <c r="F50" s="97"/>
      <c r="G50" s="97"/>
      <c r="H50" s="96"/>
    </row>
    <row r="51" spans="1:8" x14ac:dyDescent="0.2">
      <c r="A51" s="97"/>
      <c r="B51" s="97"/>
      <c r="C51" s="97"/>
      <c r="D51" s="96"/>
      <c r="E51" s="97"/>
      <c r="F51" s="97"/>
      <c r="G51" s="97"/>
      <c r="H51" s="96"/>
    </row>
    <row r="52" spans="1:8" x14ac:dyDescent="0.2">
      <c r="A52" s="96"/>
      <c r="B52" s="96"/>
      <c r="C52" s="96"/>
      <c r="D52" s="96"/>
      <c r="E52" s="96"/>
      <c r="F52" s="96"/>
      <c r="G52" s="96"/>
      <c r="H52" s="96"/>
    </row>
    <row r="53" spans="1:8" x14ac:dyDescent="0.2">
      <c r="A53" s="96"/>
      <c r="B53" s="96"/>
      <c r="C53" s="96"/>
      <c r="D53" s="97"/>
      <c r="E53" s="96"/>
      <c r="F53" s="96"/>
      <c r="G53" s="96"/>
      <c r="H53" s="96"/>
    </row>
    <row r="54" spans="1:8" x14ac:dyDescent="0.2">
      <c r="A54" s="96"/>
      <c r="B54" s="96"/>
      <c r="C54" s="96"/>
      <c r="D54" s="96"/>
      <c r="E54" s="96"/>
      <c r="F54" s="96"/>
      <c r="G54" s="96"/>
      <c r="H54" s="96"/>
    </row>
    <row r="55" spans="1:8" x14ac:dyDescent="0.2">
      <c r="A55" s="101"/>
      <c r="B55" s="101"/>
      <c r="C55" s="105"/>
      <c r="D55" s="96"/>
      <c r="E55" s="101"/>
      <c r="F55" s="101"/>
      <c r="G55" s="97"/>
      <c r="H55" s="96"/>
    </row>
    <row r="56" spans="1:8" x14ac:dyDescent="0.2">
      <c r="A56" s="96"/>
      <c r="B56" s="96"/>
      <c r="C56" s="96"/>
      <c r="D56" s="96"/>
      <c r="E56" s="96"/>
      <c r="F56" s="96"/>
      <c r="G56" s="96"/>
      <c r="H56" s="96"/>
    </row>
    <row r="57" spans="1:8" x14ac:dyDescent="0.2">
      <c r="A57" s="96"/>
      <c r="B57" s="96"/>
      <c r="C57" s="96"/>
      <c r="D57" s="96"/>
      <c r="E57" s="96"/>
      <c r="F57" s="96"/>
      <c r="G57" s="96"/>
      <c r="H57" s="96"/>
    </row>
    <row r="58" spans="1:8" x14ac:dyDescent="0.2">
      <c r="A58" s="97"/>
      <c r="B58" s="96"/>
      <c r="C58" s="96"/>
      <c r="D58" s="96"/>
      <c r="E58" s="96"/>
      <c r="F58" s="96"/>
      <c r="G58" s="96"/>
      <c r="H58" s="96"/>
    </row>
    <row r="59" spans="1:8" x14ac:dyDescent="0.2">
      <c r="A59" s="96"/>
      <c r="B59" s="96"/>
      <c r="C59" s="96"/>
      <c r="D59" s="96"/>
      <c r="E59" s="96"/>
      <c r="F59" s="96"/>
      <c r="G59" s="96"/>
      <c r="H59" s="96"/>
    </row>
    <row r="60" spans="1:8" x14ac:dyDescent="0.2">
      <c r="A60" s="96"/>
      <c r="B60" s="96"/>
      <c r="C60" s="96"/>
      <c r="D60" s="96"/>
      <c r="E60" s="96"/>
      <c r="F60" s="96"/>
      <c r="G60" s="96"/>
      <c r="H60" s="96"/>
    </row>
    <row r="61" spans="1:8" x14ac:dyDescent="0.2">
      <c r="A61" s="96"/>
      <c r="B61" s="96"/>
      <c r="C61" s="96"/>
      <c r="D61" s="96"/>
      <c r="E61" s="96"/>
      <c r="F61" s="96"/>
      <c r="G61" s="96"/>
      <c r="H61" s="96"/>
    </row>
    <row r="62" spans="1:8" x14ac:dyDescent="0.2">
      <c r="A62" s="96"/>
      <c r="B62" s="96"/>
      <c r="C62" s="96"/>
      <c r="D62" s="96"/>
      <c r="E62" s="96"/>
      <c r="F62" s="96"/>
      <c r="G62" s="96"/>
      <c r="H62" s="96"/>
    </row>
    <row r="63" spans="1:8" x14ac:dyDescent="0.2">
      <c r="A63" s="96"/>
      <c r="B63" s="96"/>
      <c r="C63" s="96"/>
      <c r="D63" s="96"/>
      <c r="E63" s="96"/>
      <c r="F63" s="96"/>
      <c r="G63" s="96"/>
      <c r="H63" s="96"/>
    </row>
    <row r="64" spans="1:8" x14ac:dyDescent="0.2">
      <c r="A64" s="97"/>
      <c r="B64" s="96"/>
      <c r="C64" s="96"/>
      <c r="D64" s="96"/>
      <c r="E64" s="96"/>
      <c r="F64" s="96"/>
      <c r="G64" s="96"/>
      <c r="H64" s="96"/>
    </row>
    <row r="65" spans="1:8" x14ac:dyDescent="0.2">
      <c r="A65" s="96"/>
      <c r="B65" s="96"/>
      <c r="C65" s="96"/>
      <c r="D65" s="96"/>
      <c r="E65" s="96"/>
      <c r="F65" s="96"/>
      <c r="G65" s="96"/>
      <c r="H65" s="96"/>
    </row>
    <row r="66" spans="1:8" x14ac:dyDescent="0.2">
      <c r="A66" s="97"/>
      <c r="B66" s="96"/>
      <c r="C66" s="96"/>
      <c r="D66" s="96"/>
      <c r="E66" s="96"/>
      <c r="F66" s="96"/>
      <c r="G66" s="96"/>
      <c r="H66" s="96"/>
    </row>
  </sheetData>
  <phoneticPr fontId="0" type="noConversion"/>
  <printOptions horizontalCentered="1" verticalCentered="1"/>
  <pageMargins left="0.39370078740157483" right="0.39370078740157483" top="0.19685039370078741" bottom="0" header="0" footer="0"/>
  <pageSetup paperSize="512"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5"/>
  <sheetViews>
    <sheetView showGridLines="0" workbookViewId="0">
      <pane ySplit="4" topLeftCell="A29" activePane="bottomLeft" state="frozen"/>
      <selection pane="bottomLeft" activeCell="E50" sqref="E50"/>
    </sheetView>
  </sheetViews>
  <sheetFormatPr baseColWidth="10" defaultRowHeight="12.75" x14ac:dyDescent="0.2"/>
  <cols>
    <col min="1" max="1" width="4.28515625" customWidth="1"/>
    <col min="2" max="2" width="14.28515625" customWidth="1"/>
    <col min="4" max="4" width="4.28515625" customWidth="1"/>
    <col min="5" max="5" width="14.28515625" customWidth="1"/>
    <col min="7" max="7" width="4.28515625" customWidth="1"/>
    <col min="8" max="8" width="14.28515625" customWidth="1"/>
    <col min="10" max="10" width="4.7109375" customWidth="1"/>
    <col min="11" max="11" width="17.5703125" hidden="1" customWidth="1"/>
    <col min="12" max="12" width="0.140625" hidden="1" customWidth="1"/>
    <col min="13" max="13" width="14.28515625" hidden="1" customWidth="1"/>
    <col min="14" max="14" width="15.42578125" hidden="1" customWidth="1"/>
    <col min="15" max="15" width="17.140625" hidden="1" customWidth="1"/>
    <col min="16" max="16" width="15.140625" customWidth="1"/>
    <col min="17" max="17" width="10.42578125" customWidth="1"/>
    <col min="18" max="18" width="9.85546875" customWidth="1"/>
  </cols>
  <sheetData>
    <row r="1" spans="1:10" ht="22.5" customHeight="1" x14ac:dyDescent="0.2">
      <c r="A1" s="174" t="s">
        <v>0</v>
      </c>
      <c r="B1" s="174"/>
      <c r="C1" s="175"/>
      <c r="D1" s="176"/>
      <c r="E1" s="176"/>
      <c r="F1" s="176"/>
      <c r="G1" s="177"/>
      <c r="H1" s="73" t="s">
        <v>1</v>
      </c>
      <c r="I1" s="170">
        <f ca="1">NOW()</f>
        <v>45733.661656365701</v>
      </c>
      <c r="J1" s="171"/>
    </row>
    <row r="2" spans="1:10" ht="22.5" customHeight="1" x14ac:dyDescent="0.2">
      <c r="A2" s="173" t="s">
        <v>2</v>
      </c>
      <c r="B2" s="173"/>
      <c r="C2" s="172"/>
      <c r="D2" s="172"/>
      <c r="E2" s="172"/>
      <c r="F2" s="172"/>
      <c r="G2" s="172"/>
      <c r="H2" s="9" t="s">
        <v>3</v>
      </c>
      <c r="I2" s="172">
        <v>0</v>
      </c>
      <c r="J2" s="172"/>
    </row>
    <row r="3" spans="1:10" ht="22.5" customHeight="1" x14ac:dyDescent="0.2">
      <c r="A3" s="75"/>
      <c r="B3" s="75"/>
      <c r="C3" s="76"/>
      <c r="D3" s="76"/>
      <c r="E3" s="76"/>
      <c r="F3" s="76"/>
      <c r="G3" s="76"/>
      <c r="H3" s="77"/>
      <c r="I3" s="76"/>
      <c r="J3" s="76"/>
    </row>
    <row r="4" spans="1:10" ht="22.5" customHeight="1" x14ac:dyDescent="0.2">
      <c r="A4" s="164" t="s">
        <v>88</v>
      </c>
      <c r="B4" s="164"/>
      <c r="C4" s="165"/>
      <c r="D4" s="165"/>
      <c r="E4" s="78" t="s">
        <v>91</v>
      </c>
      <c r="F4" s="166" t="s">
        <v>92</v>
      </c>
      <c r="G4" s="166"/>
    </row>
    <row r="5" spans="1:10" ht="22.5" customHeight="1" x14ac:dyDescent="0.2">
      <c r="H5" s="118" t="s">
        <v>130</v>
      </c>
      <c r="I5" s="119">
        <v>0</v>
      </c>
    </row>
    <row r="6" spans="1:10" ht="22.5" customHeight="1" x14ac:dyDescent="0.2">
      <c r="A6" s="167" t="s">
        <v>5</v>
      </c>
      <c r="B6" s="168"/>
      <c r="C6" s="169"/>
      <c r="D6" s="2"/>
      <c r="E6" s="1"/>
      <c r="F6" s="1"/>
      <c r="G6" s="1"/>
      <c r="H6" s="1"/>
      <c r="I6" s="1"/>
      <c r="J6" s="1"/>
    </row>
    <row r="7" spans="1:10" ht="12.75" customHeight="1" x14ac:dyDescent="0.2"/>
    <row r="8" spans="1:10" ht="15.75" customHeight="1" x14ac:dyDescent="0.2">
      <c r="B8" s="24" t="s">
        <v>10</v>
      </c>
      <c r="C8" s="36">
        <v>0</v>
      </c>
      <c r="E8" s="24" t="s">
        <v>11</v>
      </c>
      <c r="F8" s="36">
        <v>0</v>
      </c>
      <c r="H8" s="24" t="s">
        <v>6</v>
      </c>
      <c r="I8" s="38">
        <v>0</v>
      </c>
    </row>
    <row r="9" spans="1:10" ht="12.75" customHeight="1" x14ac:dyDescent="0.2"/>
    <row r="10" spans="1:10" ht="15.75" customHeight="1" x14ac:dyDescent="0.2">
      <c r="B10" s="24" t="s">
        <v>7</v>
      </c>
      <c r="C10" s="37">
        <v>0</v>
      </c>
      <c r="E10" s="24" t="s">
        <v>8</v>
      </c>
      <c r="F10" s="38">
        <f>C8*F8/10000</f>
        <v>0</v>
      </c>
      <c r="H10" s="24" t="s">
        <v>9</v>
      </c>
      <c r="I10" s="36">
        <f>C8*F8*I8</f>
        <v>0</v>
      </c>
    </row>
    <row r="11" spans="1:10" ht="22.5" customHeight="1" x14ac:dyDescent="0.2"/>
    <row r="12" spans="1:10" ht="22.5" customHeight="1" x14ac:dyDescent="0.2">
      <c r="A12" s="167" t="s">
        <v>12</v>
      </c>
      <c r="B12" s="168"/>
      <c r="C12" s="169"/>
      <c r="D12" s="7"/>
      <c r="E12" s="1"/>
      <c r="F12" s="1"/>
      <c r="G12" s="1"/>
      <c r="H12" s="1"/>
      <c r="I12" s="1"/>
      <c r="J12" s="1"/>
    </row>
    <row r="13" spans="1:10" ht="12.75" customHeight="1" x14ac:dyDescent="0.2">
      <c r="A13" s="3"/>
    </row>
    <row r="14" spans="1:10" ht="15.75" customHeight="1" x14ac:dyDescent="0.2">
      <c r="B14" s="24" t="s">
        <v>13</v>
      </c>
      <c r="C14" s="39">
        <v>0</v>
      </c>
      <c r="E14" s="24" t="s">
        <v>14</v>
      </c>
      <c r="F14" s="182"/>
      <c r="G14" s="183"/>
      <c r="H14" s="183"/>
      <c r="I14" s="184"/>
    </row>
    <row r="15" spans="1:10" ht="12.75" customHeight="1" x14ac:dyDescent="0.2"/>
    <row r="16" spans="1:10" ht="15.75" customHeight="1" x14ac:dyDescent="0.2">
      <c r="B16" s="24" t="s">
        <v>15</v>
      </c>
      <c r="C16" s="37" t="e">
        <f>(I2/C10)+(I2/C10*COSTOS!D29)</f>
        <v>#DIV/0!</v>
      </c>
      <c r="E16" s="24" t="s">
        <v>16</v>
      </c>
      <c r="F16" s="37" t="e">
        <f>IF(I16&gt;0,(C14*C16+C16),C14*C16)</f>
        <v>#DIV/0!</v>
      </c>
      <c r="H16" s="24" t="s">
        <v>17</v>
      </c>
      <c r="I16" s="36">
        <v>0</v>
      </c>
    </row>
    <row r="17" spans="1:12" ht="22.5" customHeight="1" x14ac:dyDescent="0.2">
      <c r="H17" s="5" t="s">
        <v>114</v>
      </c>
      <c r="I17" s="5" t="s">
        <v>115</v>
      </c>
    </row>
    <row r="18" spans="1:12" ht="22.5" customHeight="1" x14ac:dyDescent="0.2">
      <c r="A18" s="167" t="s">
        <v>18</v>
      </c>
      <c r="B18" s="168"/>
      <c r="C18" s="169"/>
      <c r="D18" s="7"/>
      <c r="E18" s="1"/>
      <c r="F18" s="1"/>
      <c r="G18" s="1"/>
      <c r="H18" s="1"/>
      <c r="I18" s="1"/>
      <c r="J18" s="1"/>
    </row>
    <row r="19" spans="1:12" ht="12.75" customHeight="1" x14ac:dyDescent="0.2"/>
    <row r="20" spans="1:12" ht="15.75" customHeight="1" x14ac:dyDescent="0.2">
      <c r="B20" s="24" t="s">
        <v>4</v>
      </c>
      <c r="C20" s="180" t="s">
        <v>29</v>
      </c>
      <c r="D20" s="181"/>
      <c r="E20" s="40">
        <v>0</v>
      </c>
      <c r="H20" s="5"/>
      <c r="I20" s="18"/>
      <c r="K20" t="s">
        <v>19</v>
      </c>
    </row>
    <row r="21" spans="1:12" ht="12.75" customHeight="1" x14ac:dyDescent="0.2">
      <c r="K21" t="s">
        <v>29</v>
      </c>
    </row>
    <row r="22" spans="1:12" ht="15.75" customHeight="1" x14ac:dyDescent="0.2">
      <c r="B22" s="17" t="s">
        <v>77</v>
      </c>
      <c r="C22" s="25"/>
      <c r="D22" s="1"/>
      <c r="E22" s="41">
        <v>0</v>
      </c>
      <c r="K22" t="s">
        <v>20</v>
      </c>
    </row>
    <row r="23" spans="1:12" ht="12.75" customHeight="1" x14ac:dyDescent="0.2">
      <c r="K23" t="s">
        <v>30</v>
      </c>
    </row>
    <row r="24" spans="1:12" ht="15.75" customHeight="1" x14ac:dyDescent="0.2">
      <c r="B24" s="17" t="s">
        <v>78</v>
      </c>
      <c r="C24" s="17"/>
      <c r="D24" s="24"/>
      <c r="E24" s="40">
        <v>0</v>
      </c>
      <c r="K24" t="s">
        <v>31</v>
      </c>
    </row>
    <row r="26" spans="1:12" ht="15.75" customHeight="1" x14ac:dyDescent="0.2">
      <c r="B26" s="24" t="s">
        <v>12</v>
      </c>
      <c r="C26" s="180" t="s">
        <v>39</v>
      </c>
      <c r="D26" s="181"/>
      <c r="E26" s="40" t="e">
        <f xml:space="preserve"> L29</f>
        <v>#DIV/0!</v>
      </c>
      <c r="K26" t="e">
        <f>IF(C20="PVC",COSTOS!H9,K27)</f>
        <v>#DIV/0!</v>
      </c>
      <c r="L26" t="s">
        <v>39</v>
      </c>
    </row>
    <row r="27" spans="1:12" x14ac:dyDescent="0.2">
      <c r="K27" t="e">
        <f>IF(C20="PAI",COSTOS!H10,K28)</f>
        <v>#DIV/0!</v>
      </c>
      <c r="L27" t="s">
        <v>40</v>
      </c>
    </row>
    <row r="28" spans="1:12" ht="15.75" customHeight="1" x14ac:dyDescent="0.2">
      <c r="B28" s="17" t="s">
        <v>46</v>
      </c>
      <c r="C28" s="1"/>
      <c r="D28" s="1"/>
      <c r="E28" s="40">
        <v>0</v>
      </c>
      <c r="K28" t="e">
        <f>IF(C20="PVC Autoad.",COSTOS!H16,K29)</f>
        <v>#DIV/0!</v>
      </c>
    </row>
    <row r="29" spans="1:12" x14ac:dyDescent="0.2">
      <c r="K29">
        <f>IF(C20="PET",COSTOS!H11,K30)</f>
        <v>0</v>
      </c>
      <c r="L29" s="22" t="e">
        <f>IF(C26="Convencional",COSTOS!G25,L30)</f>
        <v>#DIV/0!</v>
      </c>
    </row>
    <row r="30" spans="1:12" ht="15.75" customHeight="1" x14ac:dyDescent="0.2">
      <c r="B30" s="17" t="s">
        <v>17</v>
      </c>
      <c r="C30" s="1"/>
      <c r="D30" s="1"/>
      <c r="E30" s="40">
        <v>0</v>
      </c>
      <c r="K30">
        <f>IF(C20="Polipropileno",COSTOS!H12,0)</f>
        <v>0</v>
      </c>
      <c r="L30" s="22">
        <f>IF(C26="UV",COSTOS!G26,0)</f>
        <v>0</v>
      </c>
    </row>
    <row r="32" spans="1:12" ht="15.75" customHeight="1" x14ac:dyDescent="0.2">
      <c r="B32" s="17" t="s">
        <v>54</v>
      </c>
      <c r="C32" s="1"/>
      <c r="D32" s="1"/>
      <c r="E32" s="40">
        <v>0</v>
      </c>
      <c r="L32" s="22" t="e">
        <f>IF(C26="Convencional",COSTOS!E37,L33)</f>
        <v>#DIV/0!</v>
      </c>
    </row>
    <row r="33" spans="2:12" x14ac:dyDescent="0.2">
      <c r="L33">
        <f>IF(C26="UV",COSTOS!E38,0)</f>
        <v>0</v>
      </c>
    </row>
    <row r="34" spans="2:12" ht="15.75" customHeight="1" x14ac:dyDescent="0.2">
      <c r="B34" s="17" t="s">
        <v>55</v>
      </c>
      <c r="C34" s="1"/>
      <c r="D34" s="1"/>
      <c r="E34" s="40">
        <v>0</v>
      </c>
    </row>
    <row r="35" spans="2:12" x14ac:dyDescent="0.2">
      <c r="K35" t="s">
        <v>121</v>
      </c>
    </row>
    <row r="36" spans="2:12" ht="15.75" customHeight="1" x14ac:dyDescent="0.2">
      <c r="B36" s="17" t="s">
        <v>56</v>
      </c>
      <c r="C36" s="1"/>
      <c r="D36" s="1"/>
      <c r="E36" s="40">
        <v>0</v>
      </c>
      <c r="K36" t="s">
        <v>128</v>
      </c>
    </row>
    <row r="37" spans="2:12" x14ac:dyDescent="0.2">
      <c r="K37" t="s">
        <v>119</v>
      </c>
    </row>
    <row r="38" spans="2:12" ht="15.75" customHeight="1" x14ac:dyDescent="0.2">
      <c r="B38" s="17" t="s">
        <v>57</v>
      </c>
      <c r="C38" s="1"/>
      <c r="D38" s="1"/>
      <c r="E38" s="40">
        <v>0</v>
      </c>
    </row>
    <row r="39" spans="2:12" x14ac:dyDescent="0.2">
      <c r="K39">
        <f>IF(C44="Bifaz Esponjosa",((COSTOS!E49*I5)*I2),K40)</f>
        <v>0</v>
      </c>
    </row>
    <row r="40" spans="2:12" ht="15.75" customHeight="1" x14ac:dyDescent="0.2">
      <c r="B40" s="17" t="s">
        <v>58</v>
      </c>
      <c r="C40" s="1"/>
      <c r="D40" s="1"/>
      <c r="E40" s="40">
        <v>0</v>
      </c>
      <c r="K40">
        <f>IF(C44="Bifaz Fija",((COSTOS!E50*I5)*I2),K41)</f>
        <v>0</v>
      </c>
    </row>
    <row r="41" spans="2:12" x14ac:dyDescent="0.2">
      <c r="H41" s="29" t="s">
        <v>69</v>
      </c>
      <c r="I41" s="29" t="s">
        <v>67</v>
      </c>
      <c r="K41">
        <f>IF(C44="3M",((COSTOS!E51*I5)*I2),0)</f>
        <v>0</v>
      </c>
    </row>
    <row r="42" spans="2:12" ht="15.75" customHeight="1" x14ac:dyDescent="0.2">
      <c r="B42" s="17" t="s">
        <v>59</v>
      </c>
      <c r="C42" s="1"/>
      <c r="D42" s="1"/>
      <c r="E42" s="40">
        <v>0</v>
      </c>
      <c r="F42" s="7"/>
      <c r="G42" s="28"/>
      <c r="H42" s="4">
        <v>0</v>
      </c>
      <c r="I42" s="4">
        <v>0</v>
      </c>
    </row>
    <row r="43" spans="2:12" ht="15.75" customHeight="1" x14ac:dyDescent="0.2">
      <c r="B43" s="5"/>
      <c r="E43" s="117"/>
      <c r="H43" s="63"/>
      <c r="I43" s="63"/>
    </row>
    <row r="44" spans="2:12" ht="15.75" customHeight="1" x14ac:dyDescent="0.2">
      <c r="B44" s="17" t="s">
        <v>120</v>
      </c>
      <c r="C44" s="185" t="s">
        <v>121</v>
      </c>
      <c r="D44" s="186"/>
      <c r="E44" s="40">
        <f>K39</f>
        <v>0</v>
      </c>
      <c r="H44" s="63"/>
      <c r="I44" s="63"/>
    </row>
    <row r="45" spans="2:12" ht="15.75" customHeight="1" x14ac:dyDescent="0.2">
      <c r="B45" s="5"/>
      <c r="E45" s="117"/>
      <c r="H45" s="63"/>
      <c r="I45" s="63"/>
    </row>
    <row r="46" spans="2:12" ht="15.75" customHeight="1" x14ac:dyDescent="0.2">
      <c r="B46" s="17" t="s">
        <v>125</v>
      </c>
      <c r="C46" s="1"/>
      <c r="D46" s="1"/>
      <c r="E46" s="40">
        <v>0</v>
      </c>
      <c r="H46" s="63"/>
      <c r="I46" s="63"/>
    </row>
    <row r="47" spans="2:12" ht="15.75" customHeight="1" x14ac:dyDescent="0.2">
      <c r="B47" s="5"/>
      <c r="E47" s="117"/>
      <c r="H47" s="63"/>
      <c r="I47" s="63"/>
    </row>
    <row r="48" spans="2:12" ht="15.75" customHeight="1" x14ac:dyDescent="0.2">
      <c r="B48" s="17" t="s">
        <v>126</v>
      </c>
      <c r="C48" s="1"/>
      <c r="D48" s="1"/>
      <c r="E48" s="40">
        <v>0</v>
      </c>
      <c r="H48" s="63"/>
      <c r="I48" s="63"/>
    </row>
    <row r="49" spans="1:15" ht="15.75" customHeight="1" x14ac:dyDescent="0.2">
      <c r="B49" s="5"/>
      <c r="E49" s="117"/>
      <c r="H49" s="63"/>
      <c r="I49" s="63"/>
    </row>
    <row r="50" spans="1:15" x14ac:dyDescent="0.2">
      <c r="B50" s="17" t="s">
        <v>127</v>
      </c>
      <c r="C50" s="1"/>
      <c r="D50" s="1"/>
      <c r="E50" s="40">
        <v>0</v>
      </c>
    </row>
    <row r="51" spans="1:15" ht="24.75" customHeight="1" x14ac:dyDescent="0.2">
      <c r="B51" s="17"/>
      <c r="C51" s="1"/>
      <c r="D51" s="1"/>
      <c r="E51" s="110"/>
    </row>
    <row r="52" spans="1:15" ht="15.75" customHeight="1" x14ac:dyDescent="0.2">
      <c r="B52" s="26" t="s">
        <v>60</v>
      </c>
      <c r="C52" s="1"/>
      <c r="D52" s="1"/>
      <c r="E52" s="30" t="e">
        <f>SUM(E20:E50)</f>
        <v>#DIV/0!</v>
      </c>
      <c r="F52" s="32" t="e">
        <f>E52/I2</f>
        <v>#DIV/0!</v>
      </c>
      <c r="G52" s="27" t="s">
        <v>63</v>
      </c>
    </row>
    <row r="53" spans="1:15" ht="12.75" customHeight="1" x14ac:dyDescent="0.2"/>
    <row r="54" spans="1:15" ht="15.75" customHeight="1" x14ac:dyDescent="0.2">
      <c r="B54" s="26" t="s">
        <v>61</v>
      </c>
      <c r="C54" s="1"/>
      <c r="D54" s="1"/>
      <c r="E54" s="42">
        <v>0.7</v>
      </c>
    </row>
    <row r="56" spans="1:15" ht="22.5" customHeight="1" thickBot="1" x14ac:dyDescent="0.3">
      <c r="B56" s="59" t="s">
        <v>62</v>
      </c>
      <c r="C56" s="19"/>
      <c r="D56" s="60"/>
      <c r="E56" s="33" t="e">
        <f>(E52*E54)+E52</f>
        <v>#DIV/0!</v>
      </c>
      <c r="F56" s="34" t="e">
        <f>(F52*E54)+F52</f>
        <v>#DIV/0!</v>
      </c>
      <c r="G56" s="31" t="s">
        <v>63</v>
      </c>
    </row>
    <row r="58" spans="1:15" ht="22.5" customHeight="1" x14ac:dyDescent="0.2">
      <c r="A58" s="114"/>
      <c r="B58" s="114"/>
      <c r="C58" s="114"/>
      <c r="D58" s="114"/>
      <c r="E58" s="114"/>
      <c r="F58" s="114"/>
      <c r="G58" s="114"/>
      <c r="H58" s="114"/>
      <c r="I58" s="114"/>
      <c r="J58" s="114"/>
      <c r="K58" s="114"/>
      <c r="L58" s="114"/>
      <c r="M58" s="114"/>
      <c r="N58" s="114"/>
      <c r="O58" s="114"/>
    </row>
    <row r="59" spans="1:15" ht="22.5" customHeight="1" x14ac:dyDescent="0.2">
      <c r="A59" s="178"/>
      <c r="B59" s="178"/>
      <c r="C59" s="178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</row>
    <row r="60" spans="1:15" x14ac:dyDescent="0.2">
      <c r="A60" s="114"/>
      <c r="B60" s="114"/>
      <c r="C60" s="114"/>
      <c r="D60" s="114"/>
      <c r="E60" s="114"/>
      <c r="F60" s="114"/>
      <c r="G60" s="114"/>
      <c r="H60" s="114"/>
      <c r="I60" s="114"/>
      <c r="J60" s="114"/>
      <c r="K60" s="114"/>
      <c r="L60" s="114"/>
      <c r="M60" s="114"/>
      <c r="N60" s="114"/>
      <c r="O60" s="114"/>
    </row>
    <row r="61" spans="1:15" ht="15.75" customHeight="1" x14ac:dyDescent="0.2">
      <c r="A61" s="114"/>
      <c r="B61" s="120"/>
      <c r="C61" s="179"/>
      <c r="D61" s="179"/>
      <c r="E61" s="179"/>
      <c r="F61" s="179"/>
      <c r="G61" s="114"/>
      <c r="H61" s="114"/>
      <c r="I61" s="114"/>
      <c r="J61" s="114"/>
      <c r="K61" s="114"/>
      <c r="L61" s="114"/>
      <c r="M61" s="114"/>
      <c r="N61" s="114"/>
      <c r="O61" s="114"/>
    </row>
    <row r="62" spans="1:15" x14ac:dyDescent="0.2">
      <c r="A62" s="114"/>
      <c r="B62" s="114"/>
      <c r="C62" s="114"/>
      <c r="D62" s="114"/>
      <c r="E62" s="114"/>
      <c r="F62" s="114"/>
      <c r="G62" s="114"/>
      <c r="H62" s="114"/>
      <c r="I62" s="114"/>
      <c r="J62" s="114"/>
      <c r="K62" s="114"/>
      <c r="L62" s="114"/>
      <c r="M62" s="114"/>
      <c r="N62" s="114"/>
      <c r="O62" s="114"/>
    </row>
    <row r="63" spans="1:15" ht="15.75" customHeight="1" x14ac:dyDescent="0.2">
      <c r="A63" s="114"/>
      <c r="B63" s="120"/>
      <c r="C63" s="179"/>
      <c r="D63" s="179"/>
      <c r="E63" s="179"/>
      <c r="F63" s="179"/>
      <c r="G63" s="114"/>
      <c r="H63" s="114"/>
      <c r="I63" s="114"/>
      <c r="J63" s="114"/>
      <c r="K63" s="114"/>
      <c r="L63" s="114"/>
      <c r="M63" s="114"/>
      <c r="N63" s="114"/>
      <c r="O63" s="114"/>
    </row>
    <row r="64" spans="1:15" x14ac:dyDescent="0.2">
      <c r="A64" s="114"/>
      <c r="B64" s="114"/>
      <c r="C64" s="114"/>
      <c r="D64" s="114"/>
      <c r="E64" s="114"/>
      <c r="F64" s="114"/>
      <c r="G64" s="114"/>
      <c r="H64" s="114"/>
      <c r="I64" s="114"/>
      <c r="J64" s="114"/>
      <c r="K64" s="114"/>
      <c r="L64" s="114"/>
      <c r="M64" s="114"/>
      <c r="N64" s="114"/>
      <c r="O64" s="114"/>
    </row>
    <row r="65" spans="1:15" ht="15.75" customHeight="1" x14ac:dyDescent="0.2">
      <c r="A65" s="114"/>
      <c r="B65" s="120"/>
      <c r="C65" s="121"/>
      <c r="D65" s="114"/>
      <c r="E65" s="114"/>
      <c r="F65" s="114"/>
      <c r="G65" s="114"/>
      <c r="H65" s="114"/>
      <c r="I65" s="114"/>
      <c r="J65" s="114"/>
      <c r="K65" s="114"/>
      <c r="L65" s="114"/>
      <c r="M65" s="114"/>
      <c r="N65" s="114"/>
      <c r="O65" s="114"/>
    </row>
    <row r="66" spans="1:15" ht="15.75" customHeight="1" x14ac:dyDescent="0.25">
      <c r="A66" s="114"/>
      <c r="B66" s="120"/>
      <c r="C66" s="121"/>
      <c r="D66" s="114"/>
      <c r="E66" s="114"/>
      <c r="F66" s="114"/>
      <c r="G66" s="114"/>
      <c r="H66" s="114"/>
      <c r="I66" s="114"/>
      <c r="J66" s="114"/>
      <c r="K66" s="114"/>
      <c r="L66" s="114"/>
      <c r="M66" s="114"/>
      <c r="N66" s="123"/>
      <c r="O66" s="114"/>
    </row>
    <row r="67" spans="1:15" ht="15.75" customHeight="1" x14ac:dyDescent="0.2">
      <c r="A67" s="114"/>
      <c r="B67" s="124"/>
      <c r="C67" s="121"/>
      <c r="D67" s="114"/>
      <c r="E67" s="125"/>
      <c r="F67" s="125"/>
      <c r="G67" s="126"/>
      <c r="H67" s="114"/>
      <c r="I67" s="114"/>
      <c r="J67" s="114"/>
      <c r="K67" s="114"/>
      <c r="L67" s="114"/>
      <c r="M67" s="114"/>
      <c r="N67" s="114"/>
      <c r="O67" s="114"/>
    </row>
    <row r="68" spans="1:15" ht="15.75" customHeight="1" x14ac:dyDescent="0.2">
      <c r="A68" s="114"/>
      <c r="B68" s="120"/>
      <c r="C68" s="121"/>
      <c r="D68" s="114"/>
      <c r="E68" s="114"/>
      <c r="F68" s="114"/>
      <c r="G68" s="114"/>
      <c r="H68" s="114"/>
      <c r="I68" s="114"/>
      <c r="J68" s="114"/>
      <c r="K68" s="114"/>
      <c r="L68" s="114"/>
      <c r="M68" s="114"/>
      <c r="N68" s="114"/>
      <c r="O68" s="114"/>
    </row>
    <row r="69" spans="1:15" ht="15.75" customHeight="1" x14ac:dyDescent="0.2">
      <c r="A69" s="114"/>
      <c r="B69" s="120"/>
      <c r="C69" s="121"/>
      <c r="D69" s="114"/>
      <c r="E69" s="122"/>
      <c r="F69" s="114"/>
      <c r="G69" s="114"/>
      <c r="H69" s="114"/>
      <c r="I69" s="114"/>
      <c r="J69" s="114"/>
      <c r="K69" s="114"/>
      <c r="L69" s="114"/>
      <c r="M69" s="114"/>
      <c r="N69" s="114"/>
      <c r="O69" s="114"/>
    </row>
    <row r="70" spans="1:15" ht="15.75" customHeight="1" x14ac:dyDescent="0.2">
      <c r="A70" s="114"/>
      <c r="B70" s="120"/>
      <c r="C70" s="121"/>
      <c r="D70" s="114"/>
      <c r="E70" s="122"/>
      <c r="F70" s="114"/>
      <c r="G70" s="114"/>
      <c r="H70" s="114"/>
      <c r="I70" s="114"/>
      <c r="J70" s="114"/>
      <c r="K70" s="114"/>
      <c r="L70" s="114"/>
      <c r="M70" s="114"/>
      <c r="N70" s="114"/>
      <c r="O70" s="114"/>
    </row>
    <row r="71" spans="1:15" ht="15.75" customHeight="1" x14ac:dyDescent="0.2">
      <c r="A71" s="114"/>
      <c r="B71" s="120"/>
      <c r="C71" s="121"/>
      <c r="D71" s="114"/>
      <c r="E71" s="122"/>
      <c r="F71" s="114"/>
      <c r="G71" s="114"/>
      <c r="H71" s="114"/>
      <c r="I71" s="114"/>
      <c r="J71" s="114"/>
      <c r="K71" s="114"/>
      <c r="L71" s="114"/>
      <c r="M71" s="114"/>
      <c r="N71" s="114"/>
      <c r="O71" s="114"/>
    </row>
    <row r="72" spans="1:15" ht="22.5" customHeight="1" x14ac:dyDescent="0.2">
      <c r="A72" s="114"/>
      <c r="B72" s="114"/>
      <c r="C72" s="114"/>
      <c r="D72" s="114"/>
      <c r="E72" s="114"/>
      <c r="F72" s="114"/>
      <c r="G72" s="114"/>
      <c r="H72" s="114"/>
      <c r="I72" s="114"/>
      <c r="J72" s="114"/>
      <c r="K72" s="114"/>
      <c r="L72" s="114"/>
      <c r="M72" s="114"/>
      <c r="N72" s="114"/>
      <c r="O72" s="114"/>
    </row>
    <row r="73" spans="1:15" ht="22.5" customHeight="1" x14ac:dyDescent="0.25">
      <c r="A73" s="114"/>
      <c r="B73" s="127"/>
      <c r="C73" s="114"/>
      <c r="D73" s="114"/>
      <c r="E73" s="128"/>
      <c r="F73" s="128"/>
      <c r="G73" s="129"/>
      <c r="H73" s="114"/>
      <c r="I73" s="114"/>
      <c r="J73" s="114"/>
      <c r="K73" s="114"/>
      <c r="L73" s="114"/>
      <c r="M73" s="114"/>
      <c r="N73" s="114"/>
      <c r="O73" s="114"/>
    </row>
    <row r="74" spans="1:15" x14ac:dyDescent="0.2">
      <c r="A74" s="114"/>
      <c r="B74" s="114"/>
      <c r="C74" s="114"/>
      <c r="D74" s="114"/>
      <c r="E74" s="114"/>
      <c r="F74" s="114"/>
      <c r="G74" s="114"/>
      <c r="H74" s="114"/>
      <c r="I74" s="114"/>
      <c r="J74" s="114"/>
      <c r="K74" s="114"/>
      <c r="L74" s="114"/>
      <c r="M74" s="114"/>
      <c r="N74" s="114"/>
      <c r="O74" s="114"/>
    </row>
    <row r="75" spans="1:15" x14ac:dyDescent="0.2">
      <c r="A75" s="114"/>
      <c r="B75" s="114"/>
      <c r="C75" s="114"/>
      <c r="D75" s="114"/>
      <c r="E75" s="114"/>
      <c r="F75" s="114"/>
      <c r="G75" s="114"/>
      <c r="H75" s="114"/>
      <c r="I75" s="114"/>
      <c r="J75" s="114"/>
      <c r="K75" s="114"/>
      <c r="L75" s="114"/>
      <c r="M75" s="114"/>
      <c r="N75" s="114"/>
      <c r="O75" s="114"/>
    </row>
  </sheetData>
  <mergeCells count="19">
    <mergeCell ref="A59:C59"/>
    <mergeCell ref="C61:F61"/>
    <mergeCell ref="C63:F63"/>
    <mergeCell ref="A6:C6"/>
    <mergeCell ref="C26:D26"/>
    <mergeCell ref="F14:I14"/>
    <mergeCell ref="A18:C18"/>
    <mergeCell ref="C20:D20"/>
    <mergeCell ref="C44:D44"/>
    <mergeCell ref="A4:B4"/>
    <mergeCell ref="C4:D4"/>
    <mergeCell ref="F4:G4"/>
    <mergeCell ref="A12:C12"/>
    <mergeCell ref="I1:J1"/>
    <mergeCell ref="I2:J2"/>
    <mergeCell ref="A2:B2"/>
    <mergeCell ref="A1:B1"/>
    <mergeCell ref="C1:G1"/>
    <mergeCell ref="C2:G2"/>
  </mergeCells>
  <phoneticPr fontId="0" type="noConversion"/>
  <conditionalFormatting sqref="C8">
    <cfRule type="cellIs" priority="1" stopIfTrue="1" operator="equal">
      <formula>0</formula>
    </cfRule>
    <cfRule type="expression" dxfId="2" priority="2" stopIfTrue="1">
      <formula>$E$4</formula>
    </cfRule>
  </conditionalFormatting>
  <conditionalFormatting sqref="E4">
    <cfRule type="expression" dxfId="1" priority="3" stopIfTrue="1">
      <formula>"SI($C$8=0,"""",""Plana"")"</formula>
    </cfRule>
  </conditionalFormatting>
  <conditionalFormatting sqref="E5">
    <cfRule type="expression" dxfId="0" priority="4" stopIfTrue="1">
      <formula>IF($C$8=0,,Plana)</formula>
    </cfRule>
  </conditionalFormatting>
  <dataValidations count="5">
    <dataValidation type="list" showInputMessage="1" showErrorMessage="1" sqref="C20:D20" xr:uid="{00000000-0002-0000-0100-000000000000}">
      <formula1>$K$19:$K$24</formula1>
    </dataValidation>
    <dataValidation type="list" showInputMessage="1" showErrorMessage="1" sqref="C26:D26" xr:uid="{00000000-0002-0000-0100-000001000000}">
      <formula1>$L$25:$L$27</formula1>
    </dataValidation>
    <dataValidation type="list" showInputMessage="1" showErrorMessage="1" sqref="C61:F61" xr:uid="{00000000-0002-0000-0100-000002000000}">
      <formula1>$M$58:$M$73</formula1>
    </dataValidation>
    <dataValidation type="list" showInputMessage="1" showErrorMessage="1" sqref="C63:F63" xr:uid="{00000000-0002-0000-0100-000003000000}">
      <formula1>$N$62:$N$66</formula1>
    </dataValidation>
    <dataValidation type="list" allowBlank="1" showInputMessage="1" showErrorMessage="1" sqref="C44:D44" xr:uid="{00000000-0002-0000-0100-000004000000}">
      <formula1>$K$34:$K$37</formula1>
    </dataValidation>
  </dataValidations>
  <hyperlinks>
    <hyperlink ref="F4:G4" location="PRESUPUESTO!A65" display="Cilíndrica" xr:uid="{00000000-0004-0000-0100-000000000000}"/>
    <hyperlink ref="E4" location="PRESUPUESTO!A5" display="Plana" xr:uid="{00000000-0004-0000-0100-000001000000}"/>
  </hyperlinks>
  <printOptions horizontalCentered="1"/>
  <pageMargins left="0.39370078740157483" right="0.39370078740157483" top="0.98425196850393704" bottom="0.39370078740157483" header="0.39370078740157483" footer="0"/>
  <pageSetup paperSize="9" scale="95" orientation="portrait" horizontalDpi="360" verticalDpi="360" r:id="rId1"/>
  <headerFooter alignWithMargins="0">
    <oddHeader>&amp;CPRESUPUESTO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95"/>
  <sheetViews>
    <sheetView showGridLines="0" tabSelected="1" workbookViewId="0">
      <pane ySplit="2" topLeftCell="A12" activePane="bottomLeft" state="frozen"/>
      <selection pane="bottomLeft" activeCell="E30" sqref="E30"/>
    </sheetView>
  </sheetViews>
  <sheetFormatPr baseColWidth="10" defaultRowHeight="12.75" x14ac:dyDescent="0.2"/>
  <cols>
    <col min="1" max="1" width="4.28515625" customWidth="1"/>
    <col min="2" max="2" width="14.28515625" customWidth="1"/>
    <col min="7" max="7" width="14.28515625" customWidth="1"/>
    <col min="9" max="9" width="4.28515625" customWidth="1"/>
    <col min="10" max="10" width="10" customWidth="1"/>
  </cols>
  <sheetData>
    <row r="1" spans="1:9" ht="22.5" customHeight="1" x14ac:dyDescent="0.2">
      <c r="A1" s="167" t="s">
        <v>0</v>
      </c>
      <c r="B1" s="169"/>
      <c r="C1" s="201">
        <f>PRESUPUESTO!C1</f>
        <v>0</v>
      </c>
      <c r="D1" s="202"/>
      <c r="E1" s="202"/>
      <c r="F1" s="202"/>
      <c r="G1" s="9" t="s">
        <v>1</v>
      </c>
      <c r="H1" s="194">
        <f ca="1">PRESUPUESTO!I1</f>
        <v>45733.661656365701</v>
      </c>
      <c r="I1" s="195"/>
    </row>
    <row r="2" spans="1:9" ht="22.5" customHeight="1" x14ac:dyDescent="0.2">
      <c r="A2" s="167" t="s">
        <v>2</v>
      </c>
      <c r="B2" s="169"/>
      <c r="C2" s="190">
        <f>PRESUPUESTO!C2</f>
        <v>0</v>
      </c>
      <c r="D2" s="191"/>
      <c r="E2" s="191"/>
      <c r="F2" s="191"/>
      <c r="G2" s="9" t="s">
        <v>3</v>
      </c>
      <c r="H2" s="190">
        <f>PRESUPUESTO!I2</f>
        <v>0</v>
      </c>
      <c r="I2" s="191"/>
    </row>
    <row r="3" spans="1:9" ht="22.5" customHeight="1" x14ac:dyDescent="0.2"/>
    <row r="4" spans="1:9" ht="22.5" customHeight="1" x14ac:dyDescent="0.2">
      <c r="A4" s="167" t="s">
        <v>21</v>
      </c>
      <c r="B4" s="168"/>
      <c r="C4" s="169"/>
      <c r="D4" s="1"/>
      <c r="E4" s="1"/>
      <c r="F4" s="1"/>
      <c r="G4" s="1"/>
      <c r="H4" s="1"/>
      <c r="I4" s="1"/>
    </row>
    <row r="5" spans="1:9" ht="12.75" customHeight="1" x14ac:dyDescent="0.2"/>
    <row r="6" spans="1:9" ht="15.75" customHeight="1" x14ac:dyDescent="0.2">
      <c r="A6" s="11"/>
      <c r="B6" s="17" t="s">
        <v>22</v>
      </c>
      <c r="C6" s="12">
        <v>120</v>
      </c>
      <c r="D6" s="5"/>
      <c r="E6" s="5"/>
      <c r="F6" s="6"/>
      <c r="G6" s="5"/>
      <c r="H6" s="6"/>
    </row>
    <row r="7" spans="1:9" ht="12.75" customHeight="1" x14ac:dyDescent="0.2"/>
    <row r="8" spans="1:9" ht="15.75" customHeight="1" x14ac:dyDescent="0.2">
      <c r="A8" s="10"/>
      <c r="B8" s="13" t="s">
        <v>4</v>
      </c>
      <c r="C8" s="13" t="s">
        <v>23</v>
      </c>
      <c r="D8" s="13" t="s">
        <v>24</v>
      </c>
      <c r="E8" s="13" t="s">
        <v>25</v>
      </c>
      <c r="F8" s="13" t="s">
        <v>26</v>
      </c>
      <c r="G8" s="13" t="s">
        <v>27</v>
      </c>
      <c r="H8" s="14" t="s">
        <v>28</v>
      </c>
    </row>
    <row r="9" spans="1:9" ht="15.75" customHeight="1" x14ac:dyDescent="0.2">
      <c r="B9" s="43" t="s">
        <v>19</v>
      </c>
      <c r="C9" s="44">
        <v>1.4</v>
      </c>
      <c r="D9" s="45">
        <v>2.95</v>
      </c>
      <c r="E9" s="46">
        <v>18</v>
      </c>
      <c r="F9" s="47">
        <f>PRESUPUESTO!I10*COSTOS!C9/1000</f>
        <v>0</v>
      </c>
      <c r="G9" s="48" t="e">
        <f>F9*PRESUPUESTO!C16</f>
        <v>#DIV/0!</v>
      </c>
      <c r="H9" s="15" t="e">
        <f>E9*G9</f>
        <v>#DIV/0!</v>
      </c>
    </row>
    <row r="10" spans="1:9" ht="15.75" customHeight="1" x14ac:dyDescent="0.2">
      <c r="A10" s="3"/>
      <c r="B10" s="43" t="s">
        <v>20</v>
      </c>
      <c r="C10" s="44">
        <v>1.1000000000000001</v>
      </c>
      <c r="D10" s="45">
        <v>0</v>
      </c>
      <c r="E10" s="49">
        <v>5000</v>
      </c>
      <c r="F10" s="47">
        <f>PRESUPUESTO!I10*COSTOS!C10/1000</f>
        <v>0</v>
      </c>
      <c r="G10" s="48" t="e">
        <f>F10*PRESUPUESTO!C16</f>
        <v>#DIV/0!</v>
      </c>
      <c r="H10" s="15" t="e">
        <f>E10*G10</f>
        <v>#DIV/0!</v>
      </c>
    </row>
    <row r="11" spans="1:9" ht="15.75" customHeight="1" x14ac:dyDescent="0.2">
      <c r="B11" s="43" t="s">
        <v>30</v>
      </c>
      <c r="C11" s="50">
        <v>0.98</v>
      </c>
      <c r="D11" s="45">
        <v>0</v>
      </c>
      <c r="E11" s="46">
        <f>D11*C6</f>
        <v>0</v>
      </c>
      <c r="F11" s="47">
        <f>PRESUPUESTO!I10*COSTOS!C11/1000</f>
        <v>0</v>
      </c>
      <c r="G11" s="48" t="e">
        <f>F11*PRESUPUESTO!C16</f>
        <v>#DIV/0!</v>
      </c>
      <c r="H11" s="15" t="e">
        <f>E11*G11</f>
        <v>#DIV/0!</v>
      </c>
    </row>
    <row r="12" spans="1:9" ht="15.75" customHeight="1" x14ac:dyDescent="0.2">
      <c r="B12" s="43" t="s">
        <v>31</v>
      </c>
      <c r="C12" s="50">
        <v>1</v>
      </c>
      <c r="D12" s="45">
        <v>0</v>
      </c>
      <c r="E12" s="46">
        <v>540</v>
      </c>
      <c r="F12" s="47">
        <f>PRESUPUESTO!I10*COSTOS!C12/1000</f>
        <v>0</v>
      </c>
      <c r="G12" s="48" t="e">
        <f>F12*PRESUPUESTO!C16</f>
        <v>#DIV/0!</v>
      </c>
      <c r="H12" s="15" t="e">
        <f>E12*G12</f>
        <v>#DIV/0!</v>
      </c>
    </row>
    <row r="13" spans="1:9" x14ac:dyDescent="0.2">
      <c r="B13" s="5"/>
      <c r="G13" s="3"/>
    </row>
    <row r="14" spans="1:9" ht="15.75" customHeight="1" x14ac:dyDescent="0.2">
      <c r="B14" s="43" t="s">
        <v>29</v>
      </c>
      <c r="C14" s="1"/>
      <c r="D14" s="1"/>
      <c r="E14" s="1"/>
      <c r="F14" s="1"/>
      <c r="G14" s="1"/>
      <c r="H14" s="20"/>
    </row>
    <row r="15" spans="1:9" ht="15.75" customHeight="1" x14ac:dyDescent="0.2">
      <c r="B15" s="16" t="s">
        <v>32</v>
      </c>
      <c r="C15" s="51" t="e">
        <f>PRESUPUESTO!C16-((PRESUPUESTO!I2/PRESUPUESTO!C10)*3%)</f>
        <v>#DIV/0!</v>
      </c>
      <c r="D15" s="8" t="s">
        <v>33</v>
      </c>
      <c r="E15" s="45" t="s">
        <v>164</v>
      </c>
      <c r="F15" s="8" t="s">
        <v>34</v>
      </c>
      <c r="G15" s="52" t="e">
        <f>E15*C6</f>
        <v>#VALUE!</v>
      </c>
      <c r="H15" s="21"/>
    </row>
    <row r="16" spans="1:9" ht="15.75" customHeight="1" x14ac:dyDescent="0.2">
      <c r="H16" s="12" t="e">
        <f>C15*G15</f>
        <v>#DIV/0!</v>
      </c>
    </row>
    <row r="17" spans="1:9" ht="15" customHeight="1" x14ac:dyDescent="0.2"/>
    <row r="18" spans="1:9" ht="22.5" customHeight="1" x14ac:dyDescent="0.2">
      <c r="A18" s="196" t="s">
        <v>35</v>
      </c>
      <c r="B18" s="197"/>
      <c r="C18" s="198"/>
      <c r="D18" s="7"/>
      <c r="E18" s="1"/>
      <c r="F18" s="1"/>
      <c r="G18" s="1"/>
      <c r="H18" s="1"/>
      <c r="I18" s="1"/>
    </row>
    <row r="19" spans="1:9" ht="12.75" customHeight="1" x14ac:dyDescent="0.2"/>
    <row r="20" spans="1:9" ht="15.75" customHeight="1" x14ac:dyDescent="0.2">
      <c r="B20" s="16" t="s">
        <v>8</v>
      </c>
      <c r="C20" s="53">
        <f>PRESUPUESTO!C8*PRESUPUESTO!F8</f>
        <v>0</v>
      </c>
      <c r="D20" s="8" t="s">
        <v>36</v>
      </c>
      <c r="E20" s="54">
        <v>7</v>
      </c>
      <c r="F20" s="16" t="s">
        <v>37</v>
      </c>
      <c r="G20" s="15">
        <f>C20*E20</f>
        <v>0</v>
      </c>
    </row>
    <row r="21" spans="1:9" ht="22.5" customHeight="1" x14ac:dyDescent="0.2"/>
    <row r="22" spans="1:9" ht="22.5" customHeight="1" x14ac:dyDescent="0.2">
      <c r="A22" s="196" t="s">
        <v>41</v>
      </c>
      <c r="B22" s="197"/>
      <c r="C22" s="198"/>
      <c r="D22" s="7"/>
      <c r="E22" s="1"/>
      <c r="F22" s="1"/>
      <c r="G22" s="1"/>
      <c r="H22" s="1"/>
      <c r="I22" s="1"/>
    </row>
    <row r="23" spans="1:9" ht="12.75" customHeight="1" x14ac:dyDescent="0.2"/>
    <row r="24" spans="1:9" ht="15.75" customHeight="1" x14ac:dyDescent="0.2">
      <c r="B24" s="13" t="s">
        <v>42</v>
      </c>
      <c r="C24" s="13" t="s">
        <v>43</v>
      </c>
      <c r="D24" s="13" t="s">
        <v>15</v>
      </c>
      <c r="E24" s="13" t="s">
        <v>44</v>
      </c>
      <c r="F24" s="13" t="s">
        <v>45</v>
      </c>
      <c r="G24" s="14" t="s">
        <v>28</v>
      </c>
    </row>
    <row r="25" spans="1:9" ht="15.75" customHeight="1" x14ac:dyDescent="0.2">
      <c r="B25" s="55" t="s">
        <v>39</v>
      </c>
      <c r="C25" s="56">
        <f>PRESUPUESTO!C14</f>
        <v>0</v>
      </c>
      <c r="D25" s="51" t="e">
        <f>PRESUPUESTO!C16</f>
        <v>#DIV/0!</v>
      </c>
      <c r="E25" s="49">
        <v>15</v>
      </c>
      <c r="F25" s="46">
        <v>40</v>
      </c>
      <c r="G25" s="15" t="e">
        <f>IF(D25*C25*E25&lt;F25,F25,D25*E25*C25)</f>
        <v>#DIV/0!</v>
      </c>
    </row>
    <row r="26" spans="1:9" ht="15.75" customHeight="1" x14ac:dyDescent="0.2">
      <c r="B26" s="55" t="s">
        <v>40</v>
      </c>
      <c r="C26" s="56">
        <f>PRESUPUESTO!C14</f>
        <v>0</v>
      </c>
      <c r="D26" s="51" t="e">
        <f>PRESUPUESTO!C16</f>
        <v>#DIV/0!</v>
      </c>
      <c r="E26" s="49">
        <v>20</v>
      </c>
      <c r="F26" s="46">
        <v>60</v>
      </c>
      <c r="G26" s="15" t="e">
        <f>IF(D26*C26*E26&lt;F26,F26,D26*C26*E26)</f>
        <v>#DIV/0!</v>
      </c>
    </row>
    <row r="27" spans="1:9" ht="15.75" customHeight="1" x14ac:dyDescent="0.2">
      <c r="B27" s="55" t="s">
        <v>17</v>
      </c>
      <c r="C27" s="56">
        <f>PRESUPUESTO!I16</f>
        <v>0</v>
      </c>
      <c r="D27" s="51" t="e">
        <f>PRESUPUESTO!C16</f>
        <v>#DIV/0!</v>
      </c>
      <c r="E27" s="49"/>
      <c r="F27" s="49">
        <v>50</v>
      </c>
      <c r="G27" s="15" t="e">
        <f>IF(D27*C27&lt;F27,F27,D27*C27)</f>
        <v>#DIV/0!</v>
      </c>
    </row>
    <row r="28" spans="1:9" ht="15.75" customHeight="1" x14ac:dyDescent="0.2">
      <c r="B28" s="21"/>
      <c r="C28" s="62"/>
      <c r="D28" s="63"/>
      <c r="E28" s="64"/>
      <c r="F28" s="64"/>
      <c r="G28" s="65"/>
    </row>
    <row r="29" spans="1:9" ht="15.75" customHeight="1" x14ac:dyDescent="0.2">
      <c r="B29" s="199" t="s">
        <v>87</v>
      </c>
      <c r="C29" s="200"/>
      <c r="D29" s="57">
        <v>0.03</v>
      </c>
      <c r="E29" s="64"/>
      <c r="F29" s="64"/>
      <c r="G29" s="65"/>
    </row>
    <row r="30" spans="1:9" ht="22.5" customHeight="1" x14ac:dyDescent="0.2"/>
    <row r="31" spans="1:9" ht="22.5" customHeight="1" x14ac:dyDescent="0.2">
      <c r="A31" s="173" t="s">
        <v>38</v>
      </c>
      <c r="B31" s="173"/>
      <c r="C31" s="173"/>
      <c r="D31" s="7"/>
      <c r="E31" s="1"/>
      <c r="F31" s="1"/>
      <c r="G31" s="1"/>
      <c r="H31" s="1"/>
      <c r="I31" s="1"/>
    </row>
    <row r="33" spans="1:9" ht="15.75" customHeight="1" x14ac:dyDescent="0.2">
      <c r="B33" s="23" t="s">
        <v>47</v>
      </c>
      <c r="C33" s="23" t="s">
        <v>48</v>
      </c>
      <c r="D33" s="23" t="s">
        <v>49</v>
      </c>
      <c r="E33" s="23" t="s">
        <v>50</v>
      </c>
      <c r="F33" s="188" t="s">
        <v>51</v>
      </c>
      <c r="G33" s="188"/>
    </row>
    <row r="34" spans="1:9" ht="15.75" customHeight="1" x14ac:dyDescent="0.2">
      <c r="B34" s="53" t="e">
        <f>PRESUPUESTO!F10*PRESUPUESTO!C16</f>
        <v>#DIV/0!</v>
      </c>
      <c r="C34" s="50">
        <v>70</v>
      </c>
      <c r="D34" s="57">
        <v>0.9</v>
      </c>
      <c r="E34" s="56">
        <v>2</v>
      </c>
      <c r="F34" s="189" t="e">
        <f>B34/C34*D34*E34</f>
        <v>#DIV/0!</v>
      </c>
      <c r="G34" s="189"/>
    </row>
    <row r="36" spans="1:9" ht="15.75" customHeight="1" x14ac:dyDescent="0.2">
      <c r="B36" s="13" t="s">
        <v>12</v>
      </c>
      <c r="C36" s="13" t="s">
        <v>52</v>
      </c>
      <c r="D36" s="13" t="s">
        <v>53</v>
      </c>
      <c r="E36" s="192" t="s">
        <v>28</v>
      </c>
      <c r="F36" s="192"/>
    </row>
    <row r="37" spans="1:9" ht="15.75" customHeight="1" x14ac:dyDescent="0.2">
      <c r="B37" s="55" t="s">
        <v>39</v>
      </c>
      <c r="C37" s="50">
        <v>33</v>
      </c>
      <c r="D37" s="52">
        <v>33000</v>
      </c>
      <c r="E37" s="187" t="e">
        <f>D37*F34</f>
        <v>#DIV/0!</v>
      </c>
      <c r="F37" s="187"/>
    </row>
    <row r="38" spans="1:9" ht="15.75" customHeight="1" x14ac:dyDescent="0.2">
      <c r="B38" s="55" t="s">
        <v>40</v>
      </c>
      <c r="C38" s="50">
        <v>60</v>
      </c>
      <c r="D38" s="52">
        <v>60000</v>
      </c>
      <c r="E38" s="187" t="e">
        <f>D38*F34</f>
        <v>#DIV/0!</v>
      </c>
      <c r="F38" s="187"/>
    </row>
    <row r="39" spans="1:9" ht="22.5" customHeight="1" x14ac:dyDescent="0.2"/>
    <row r="40" spans="1:9" ht="22.5" customHeight="1" x14ac:dyDescent="0.2">
      <c r="A40" s="196" t="s">
        <v>64</v>
      </c>
      <c r="B40" s="197"/>
      <c r="C40" s="198"/>
      <c r="D40" s="7"/>
      <c r="E40" s="1"/>
      <c r="F40" s="1"/>
      <c r="G40" s="1"/>
      <c r="H40" s="1"/>
      <c r="I40" s="1"/>
    </row>
    <row r="42" spans="1:9" ht="15.75" customHeight="1" x14ac:dyDescent="0.2">
      <c r="B42" s="13" t="s">
        <v>65</v>
      </c>
      <c r="C42" s="13" t="s">
        <v>66</v>
      </c>
      <c r="D42" s="13" t="s">
        <v>67</v>
      </c>
      <c r="E42" s="14" t="s">
        <v>68</v>
      </c>
    </row>
    <row r="43" spans="1:9" ht="15.75" customHeight="1" x14ac:dyDescent="0.2">
      <c r="B43" s="51">
        <f>PRESUPUESTO!H42</f>
        <v>0</v>
      </c>
      <c r="C43" s="49">
        <v>1000</v>
      </c>
      <c r="D43" s="51">
        <f>PRESUPUESTO!I42</f>
        <v>0</v>
      </c>
      <c r="E43" s="15">
        <f>B43*C43*D43</f>
        <v>0</v>
      </c>
    </row>
    <row r="44" spans="1:9" ht="15.75" customHeight="1" x14ac:dyDescent="0.2">
      <c r="B44" s="63"/>
      <c r="C44" s="64"/>
      <c r="D44" s="63"/>
      <c r="E44" s="65"/>
    </row>
    <row r="45" spans="1:9" ht="22.5" customHeight="1" x14ac:dyDescent="0.2"/>
    <row r="46" spans="1:9" ht="22.5" customHeight="1" x14ac:dyDescent="0.2">
      <c r="A46" s="196" t="s">
        <v>120</v>
      </c>
      <c r="B46" s="197"/>
      <c r="C46" s="197"/>
      <c r="D46" s="198"/>
      <c r="E46" s="1"/>
      <c r="F46" s="1"/>
      <c r="G46" s="1"/>
      <c r="H46" s="1"/>
      <c r="I46" s="1"/>
    </row>
    <row r="48" spans="1:9" ht="15.75" customHeight="1" x14ac:dyDescent="0.2">
      <c r="B48" s="13" t="s">
        <v>12</v>
      </c>
      <c r="C48" s="13" t="s">
        <v>123</v>
      </c>
      <c r="D48" s="13" t="s">
        <v>124</v>
      </c>
      <c r="E48" s="192" t="s">
        <v>129</v>
      </c>
      <c r="F48" s="192"/>
      <c r="G48" s="85"/>
      <c r="H48" s="85"/>
    </row>
    <row r="49" spans="2:9" ht="15.75" customHeight="1" x14ac:dyDescent="0.2">
      <c r="B49" s="55" t="s">
        <v>121</v>
      </c>
      <c r="C49" s="50">
        <v>30</v>
      </c>
      <c r="D49" s="52">
        <v>360</v>
      </c>
      <c r="E49" s="193">
        <f>D49/(C49*100)</f>
        <v>0.12</v>
      </c>
      <c r="F49" s="193"/>
      <c r="G49" s="112"/>
      <c r="H49" s="112"/>
    </row>
    <row r="50" spans="2:9" ht="15.75" customHeight="1" x14ac:dyDescent="0.2">
      <c r="B50" s="55" t="s">
        <v>122</v>
      </c>
      <c r="C50" s="50">
        <v>50</v>
      </c>
      <c r="D50" s="52">
        <v>280</v>
      </c>
      <c r="E50" s="193">
        <f>D50/(C50*100)</f>
        <v>5.6000000000000001E-2</v>
      </c>
      <c r="F50" s="193"/>
      <c r="G50" s="112"/>
      <c r="H50" s="112"/>
    </row>
    <row r="51" spans="2:9" ht="15.75" customHeight="1" x14ac:dyDescent="0.2">
      <c r="B51" s="55" t="s">
        <v>119</v>
      </c>
      <c r="C51" s="50">
        <v>33</v>
      </c>
      <c r="D51" s="52">
        <v>330</v>
      </c>
      <c r="E51" s="193">
        <f>D51/(C51*100)</f>
        <v>0.1</v>
      </c>
      <c r="F51" s="193"/>
      <c r="G51" s="112"/>
      <c r="H51" s="112"/>
    </row>
    <row r="52" spans="2:9" ht="15.75" customHeight="1" x14ac:dyDescent="0.2">
      <c r="B52" s="203"/>
      <c r="C52" s="203"/>
      <c r="D52" s="112"/>
      <c r="E52" s="112"/>
      <c r="F52" s="112"/>
      <c r="G52" s="112"/>
      <c r="H52" s="112"/>
    </row>
    <row r="53" spans="2:9" ht="15.75" customHeight="1" x14ac:dyDescent="0.2">
      <c r="B53" s="204"/>
      <c r="C53" s="204"/>
      <c r="D53" s="112"/>
      <c r="E53" s="112"/>
      <c r="F53" s="112"/>
      <c r="G53" s="112"/>
      <c r="H53" s="112"/>
    </row>
    <row r="54" spans="2:9" ht="15.75" customHeight="1" x14ac:dyDescent="0.2">
      <c r="B54" s="203"/>
      <c r="C54" s="203"/>
      <c r="D54" s="112"/>
      <c r="E54" s="112"/>
      <c r="F54" s="112"/>
      <c r="G54" s="112"/>
      <c r="H54" s="112"/>
    </row>
    <row r="55" spans="2:9" ht="15.75" customHeight="1" x14ac:dyDescent="0.2">
      <c r="B55" s="203"/>
      <c r="C55" s="203"/>
      <c r="D55" s="112"/>
      <c r="E55" s="112"/>
      <c r="F55" s="112"/>
      <c r="G55" s="112"/>
      <c r="H55" s="112"/>
    </row>
    <row r="56" spans="2:9" ht="15.75" customHeight="1" x14ac:dyDescent="0.2">
      <c r="B56" s="203"/>
      <c r="C56" s="203"/>
      <c r="D56" s="112"/>
      <c r="E56" s="112"/>
      <c r="F56" s="112"/>
      <c r="G56" s="112"/>
      <c r="H56" s="112"/>
    </row>
    <row r="57" spans="2:9" ht="15.75" customHeight="1" x14ac:dyDescent="0.2">
      <c r="B57" s="203"/>
      <c r="C57" s="203"/>
      <c r="D57" s="112"/>
      <c r="E57" s="112"/>
      <c r="F57" s="112"/>
      <c r="G57" s="112"/>
      <c r="H57" s="112"/>
    </row>
    <row r="58" spans="2:9" ht="15.75" customHeight="1" x14ac:dyDescent="0.2">
      <c r="B58" s="203"/>
      <c r="C58" s="203"/>
      <c r="D58" s="112"/>
      <c r="E58" s="112"/>
      <c r="F58" s="112"/>
      <c r="G58" s="112"/>
      <c r="H58" s="112"/>
    </row>
    <row r="59" spans="2:9" ht="15.75" customHeight="1" x14ac:dyDescent="0.2">
      <c r="B59" s="203"/>
      <c r="C59" s="203"/>
      <c r="D59" s="112"/>
      <c r="E59" s="112"/>
      <c r="F59" s="112"/>
      <c r="G59" s="112"/>
      <c r="H59" s="112"/>
    </row>
    <row r="60" spans="2:9" ht="15.75" customHeight="1" x14ac:dyDescent="0.2">
      <c r="B60" s="203"/>
      <c r="C60" s="203"/>
      <c r="D60" s="112"/>
      <c r="E60" s="112"/>
      <c r="F60" s="112"/>
      <c r="G60" s="112"/>
      <c r="H60" s="112"/>
    </row>
    <row r="61" spans="2:9" ht="15.75" customHeight="1" x14ac:dyDescent="0.2">
      <c r="B61" s="203"/>
      <c r="C61" s="203"/>
      <c r="D61" s="112"/>
      <c r="E61" s="112"/>
      <c r="F61" s="112"/>
      <c r="G61" s="112"/>
      <c r="H61" s="112"/>
    </row>
    <row r="62" spans="2:9" ht="15.75" customHeight="1" x14ac:dyDescent="0.2">
      <c r="B62" s="203"/>
      <c r="C62" s="203"/>
      <c r="D62" s="112"/>
      <c r="E62" s="112"/>
      <c r="F62" s="112"/>
      <c r="G62" s="112"/>
      <c r="H62" s="112"/>
    </row>
    <row r="63" spans="2:9" ht="15.75" customHeight="1" x14ac:dyDescent="0.2">
      <c r="B63" s="203"/>
      <c r="C63" s="203"/>
      <c r="D63" s="112"/>
      <c r="E63" s="112"/>
      <c r="F63" s="112"/>
      <c r="G63" s="112"/>
      <c r="H63" s="112"/>
    </row>
    <row r="64" spans="2:9" ht="15.75" customHeight="1" x14ac:dyDescent="0.2">
      <c r="B64" s="205"/>
      <c r="C64" s="205"/>
      <c r="D64" s="112"/>
      <c r="E64" s="112"/>
      <c r="F64" s="112"/>
      <c r="G64" s="112"/>
      <c r="H64" s="112"/>
      <c r="I64" s="114"/>
    </row>
    <row r="65" spans="2:9" ht="15.75" customHeight="1" x14ac:dyDescent="0.2">
      <c r="B65" s="205"/>
      <c r="C65" s="205"/>
      <c r="D65" s="115"/>
      <c r="E65" s="115"/>
      <c r="F65" s="115"/>
      <c r="G65" s="115"/>
      <c r="H65" s="115"/>
      <c r="I65" s="114"/>
    </row>
    <row r="66" spans="2:9" ht="15.75" customHeight="1" x14ac:dyDescent="0.2">
      <c r="B66" s="203"/>
      <c r="C66" s="203"/>
      <c r="D66" s="113"/>
      <c r="E66" s="113"/>
      <c r="F66" s="113"/>
      <c r="G66" s="113"/>
      <c r="H66" s="113"/>
      <c r="I66" s="114"/>
    </row>
    <row r="67" spans="2:9" ht="15.75" customHeight="1" x14ac:dyDescent="0.2">
      <c r="B67" s="111"/>
      <c r="C67" s="111"/>
      <c r="D67" s="112"/>
      <c r="E67" s="112"/>
      <c r="F67" s="112"/>
      <c r="G67" s="112"/>
      <c r="H67" s="112"/>
      <c r="I67" s="114"/>
    </row>
    <row r="68" spans="2:9" ht="15.75" customHeight="1" x14ac:dyDescent="0.2">
      <c r="B68" s="111"/>
      <c r="C68" s="111"/>
      <c r="D68" s="115"/>
      <c r="E68" s="115"/>
      <c r="F68" s="115"/>
      <c r="G68" s="116"/>
      <c r="H68" s="116"/>
      <c r="I68" s="114"/>
    </row>
    <row r="69" spans="2:9" ht="15.75" customHeight="1" x14ac:dyDescent="0.2">
      <c r="B69" s="203"/>
      <c r="C69" s="203"/>
      <c r="D69" s="113"/>
      <c r="E69" s="113"/>
      <c r="F69" s="113"/>
      <c r="G69" s="112"/>
      <c r="H69" s="112"/>
      <c r="I69" s="114"/>
    </row>
    <row r="70" spans="2:9" ht="15.75" customHeight="1" x14ac:dyDescent="0.2">
      <c r="B70" s="203"/>
      <c r="C70" s="203"/>
      <c r="D70" s="113"/>
      <c r="E70" s="113"/>
      <c r="F70" s="113"/>
      <c r="G70" s="64"/>
      <c r="H70" s="64"/>
    </row>
    <row r="71" spans="2:9" ht="22.5" customHeight="1" x14ac:dyDescent="0.2"/>
    <row r="73" spans="2:9" ht="15.75" customHeight="1" x14ac:dyDescent="0.2">
      <c r="B73" s="17" t="s">
        <v>95</v>
      </c>
      <c r="C73" s="74"/>
      <c r="D73" s="180">
        <f>PRESUPUESTO!C61</f>
        <v>0</v>
      </c>
      <c r="E73" s="210"/>
      <c r="F73" s="210"/>
      <c r="G73" s="181"/>
    </row>
    <row r="74" spans="2:9" ht="12.75" customHeight="1" x14ac:dyDescent="0.2">
      <c r="B74" s="5"/>
      <c r="C74" s="10"/>
      <c r="D74" s="10"/>
      <c r="E74" s="10"/>
    </row>
    <row r="75" spans="2:9" ht="17.25" customHeight="1" x14ac:dyDescent="0.2">
      <c r="B75" s="17" t="s">
        <v>94</v>
      </c>
      <c r="C75" s="1"/>
      <c r="D75" s="180">
        <f>PRESUPUESTO!I2</f>
        <v>0</v>
      </c>
      <c r="E75" s="181"/>
      <c r="G75" s="24" t="s">
        <v>13</v>
      </c>
      <c r="H75" s="58">
        <f>PRESUPUESTO!C65</f>
        <v>0</v>
      </c>
    </row>
    <row r="76" spans="2:9" ht="12.75" customHeight="1" x14ac:dyDescent="0.2">
      <c r="B76" s="5"/>
    </row>
    <row r="77" spans="2:9" ht="15.75" customHeight="1" x14ac:dyDescent="0.2">
      <c r="B77" s="17" t="s">
        <v>96</v>
      </c>
      <c r="C77" s="1"/>
      <c r="D77" s="208">
        <v>0.12</v>
      </c>
      <c r="E77" s="209"/>
    </row>
    <row r="78" spans="2:9" ht="12.75" customHeight="1" x14ac:dyDescent="0.2">
      <c r="B78" s="5"/>
    </row>
    <row r="79" spans="2:9" ht="15.75" customHeight="1" x14ac:dyDescent="0.2">
      <c r="B79" s="17" t="s">
        <v>28</v>
      </c>
      <c r="C79" s="28"/>
      <c r="D79" s="206">
        <f>IF(H75=1,SUM(B82:T82),((H75-1)*D77*D75)+SUM(B82:T82))</f>
        <v>0</v>
      </c>
      <c r="E79" s="207"/>
    </row>
    <row r="82" spans="1:20" ht="12.75" hidden="1" customHeight="1" x14ac:dyDescent="0.2">
      <c r="B82" t="b">
        <f>IF(D73="Carpita Alto Impacto 200 x 75mm Espesor 1.3",B83)</f>
        <v>0</v>
      </c>
      <c r="C82" t="b">
        <f>IF(D73="Carpita Inyectada 200 x 75mm Espesor 2.2",C83)</f>
        <v>0</v>
      </c>
      <c r="E82" t="b">
        <f>IF(D73="Carpita c/Port y Tarj. Inyectada Espesor 2.2",E83)</f>
        <v>0</v>
      </c>
      <c r="G82" t="b">
        <f>IF(D73="Almanaque Alto Impacto",G83)</f>
        <v>0</v>
      </c>
      <c r="J82" t="b">
        <f>IF(D73="Almanaque Mapa Argentina PVC",J83)</f>
        <v>0</v>
      </c>
      <c r="K82" t="b">
        <f>IF(D73="Llavero Acrílico Capilla",K83)</f>
        <v>0</v>
      </c>
      <c r="L82" t="b">
        <f>IF(D73="Llavero Acrílico PortaFotos",L83)</f>
        <v>0</v>
      </c>
      <c r="M82" t="b">
        <f>IF(D73="Portalápices Inyectado-Pub PVC",M83)</f>
        <v>0</v>
      </c>
      <c r="N82" t="b">
        <f>IF(D73="Portalápices Inyectado Redondo-Pub PVC",N83)</f>
        <v>0</v>
      </c>
      <c r="O82" t="b">
        <f>IF(D73="Reglas 20cm Alto Impacto Espesor 1.2",O83)</f>
        <v>0</v>
      </c>
      <c r="P82" t="b">
        <f>IF(D73="Reglas 30cm Alto Impacto Espesor 1.2",P83)</f>
        <v>0</v>
      </c>
      <c r="Q82" t="b">
        <f>IF(D73="Garrafas",Q83)</f>
        <v>0</v>
      </c>
      <c r="R82" t="b">
        <f>IF(D73="Bolígrafos",R83)</f>
        <v>0</v>
      </c>
      <c r="S82" t="b">
        <f>IF(D73="Poster 40x58 cm",S83)</f>
        <v>0</v>
      </c>
      <c r="T82" t="b">
        <f>IF(D73="Poster 50x70 cm",T83)</f>
        <v>0</v>
      </c>
    </row>
    <row r="83" spans="1:20" ht="12.75" hidden="1" customHeight="1" x14ac:dyDescent="0.2">
      <c r="B83">
        <f>IF(D75&lt;250,D75*E49,B84)</f>
        <v>0</v>
      </c>
      <c r="C83">
        <f>IF(PRESUPUESTO!C63="Transparente",C84,COSTOS!D84)</f>
        <v>0</v>
      </c>
      <c r="E83">
        <f>IF(PRESUPUESTO!C63="Fénix-12 hojas-base plástica c/publicidad)",E84,F84)</f>
        <v>0</v>
      </c>
      <c r="G83" t="b">
        <f>IF(PRESUPUESTO!C63="Blanco",G84,H83)</f>
        <v>0</v>
      </c>
      <c r="H83" t="b">
        <f>IF(PRESUPUESTO!C63="Negro",H84)</f>
        <v>0</v>
      </c>
      <c r="J83">
        <f>IF(D75&lt;100,D75*D56,J84)</f>
        <v>0</v>
      </c>
      <c r="K83">
        <f>IF(D75&lt;250,D75*E57,K84)</f>
        <v>0</v>
      </c>
      <c r="L83">
        <f>IF(D75&lt;250,D75*E58,L84)</f>
        <v>0</v>
      </c>
      <c r="M83">
        <f>IF(D75&lt;100,D75*D59,M84)</f>
        <v>0</v>
      </c>
      <c r="N83">
        <f>IF(D75&lt;100,D75*D60,N84)</f>
        <v>0</v>
      </c>
      <c r="O83">
        <f>IF(D75&lt;250,D75*E61,O84)</f>
        <v>0</v>
      </c>
      <c r="P83">
        <f>IF(D75&lt;250,D75*E62,P84)</f>
        <v>0</v>
      </c>
      <c r="Q83">
        <f>IF(D75&lt;250,D75*E63,Q84)</f>
        <v>0</v>
      </c>
      <c r="R83">
        <f>IF(D75&lt;300,D75*D66,R84)</f>
        <v>0</v>
      </c>
      <c r="S83">
        <f>IF(D75&lt;200,D75*D69,S84)</f>
        <v>0</v>
      </c>
      <c r="T83">
        <f>IF(D75&lt;200,D75*D70,T84)</f>
        <v>0</v>
      </c>
    </row>
    <row r="84" spans="1:20" ht="12.75" hidden="1" customHeight="1" x14ac:dyDescent="0.2">
      <c r="B84">
        <f>IF(D75&lt;500,D75*F49,B85)</f>
        <v>0</v>
      </c>
      <c r="C84">
        <f>IF(D75&lt;100,D75*D51,C85)</f>
        <v>0</v>
      </c>
      <c r="D84">
        <f>IF(D75&lt;100,D75*D50,D85)</f>
        <v>0</v>
      </c>
      <c r="E84">
        <f>IF(D75&lt;250,D75*E53,E85)</f>
        <v>0</v>
      </c>
      <c r="F84">
        <f>IF(D75&lt;100,D75*D52,F85)</f>
        <v>0</v>
      </c>
      <c r="G84">
        <f>IF(D75&lt;100,D75*D54,G85)</f>
        <v>0</v>
      </c>
      <c r="H84">
        <f>IF(D75&lt;100,D75*D55,H85)</f>
        <v>0</v>
      </c>
      <c r="J84">
        <f>IF(D75&lt;250,D75*E56,J85)</f>
        <v>0</v>
      </c>
      <c r="K84">
        <f>IF(D75&lt;500,D75*F57,K85)</f>
        <v>0</v>
      </c>
      <c r="L84">
        <f>IF(D75&lt;500,D75*F58,L85)</f>
        <v>0</v>
      </c>
      <c r="M84">
        <f>IF(D75&lt;250,D75*E59,M85)</f>
        <v>0</v>
      </c>
      <c r="N84">
        <f>IF(D75&lt;250,D75*E60,N85)</f>
        <v>0</v>
      </c>
      <c r="O84">
        <f>IF(D75&lt;500,D75*F61,O85)</f>
        <v>0</v>
      </c>
      <c r="P84">
        <f>IF(D75&lt;500,D75*F62,P85)</f>
        <v>0</v>
      </c>
      <c r="Q84">
        <f>IF(D75&lt;500,D75*F63,Q85)</f>
        <v>0</v>
      </c>
      <c r="R84">
        <f>IF(D75&lt;400,D75*E66,R85)</f>
        <v>0</v>
      </c>
      <c r="S84">
        <f>IF(D75&lt;300,D75*E69,D75*F69)</f>
        <v>0</v>
      </c>
      <c r="T84">
        <f>IF(D75&lt;300,D75*E70,D75*F70)</f>
        <v>0</v>
      </c>
    </row>
    <row r="85" spans="1:20" ht="12.75" hidden="1" customHeight="1" x14ac:dyDescent="0.2">
      <c r="B85">
        <f>IF(D75&lt;1000,D75*G49,D75*H49)</f>
        <v>0</v>
      </c>
      <c r="C85">
        <f>IF(D75&lt;250,D75*E51,C86)</f>
        <v>0</v>
      </c>
      <c r="D85">
        <f>IF(D75&lt;250,D75*E50,D86)</f>
        <v>0</v>
      </c>
      <c r="E85">
        <f>IF(D75&lt;500,D75*F53,E86)</f>
        <v>0</v>
      </c>
      <c r="F85">
        <f>IF(D75&lt;250,D75*E52,F86)</f>
        <v>0</v>
      </c>
      <c r="G85">
        <f>IF(D75&lt;250,D75*E54,G86)</f>
        <v>0</v>
      </c>
      <c r="H85">
        <f>IF(D75&lt;250,D75*E55,H86)</f>
        <v>0</v>
      </c>
      <c r="J85">
        <f>IF(D75&lt;500,D75*F56,J86)</f>
        <v>0</v>
      </c>
      <c r="K85">
        <f>IF(D75&lt;1000,D75*G57,D75*H57)</f>
        <v>0</v>
      </c>
      <c r="L85">
        <f>IF(D75&lt;1000,D75*G58,D75*H58)</f>
        <v>0</v>
      </c>
      <c r="M85">
        <f>IF(D75&lt;500,D75*F59,M86)</f>
        <v>0</v>
      </c>
      <c r="N85">
        <f>IF(D75&lt;500,D75*F60,N86)</f>
        <v>0</v>
      </c>
      <c r="O85">
        <f>IF(D75&lt;1000,D75*G61,D75*H61)</f>
        <v>0</v>
      </c>
      <c r="P85">
        <f>IF(D75&lt;1000,D75*G62,D75*H62)</f>
        <v>0</v>
      </c>
      <c r="Q85">
        <f>IF(D75&lt;1000,D75*G63,D75*H63)</f>
        <v>0</v>
      </c>
      <c r="R85">
        <f>IF(D75&lt;500,D75*F66,R86)</f>
        <v>0</v>
      </c>
    </row>
    <row r="86" spans="1:20" ht="12.75" hidden="1" customHeight="1" x14ac:dyDescent="0.2">
      <c r="C86">
        <f>IF(D75&lt;500,D75*F51,C87)</f>
        <v>0</v>
      </c>
      <c r="D86">
        <f>IF(D75&lt;500,D75*F50,D87)</f>
        <v>0</v>
      </c>
      <c r="E86">
        <f>IF(D75&lt;1000,D75*G53,D75*H53)</f>
        <v>0</v>
      </c>
      <c r="F86">
        <f>IF(D75&lt;500,D75*F52,F87)</f>
        <v>0</v>
      </c>
      <c r="G86">
        <f>IF(D75&lt;500,D75*F54,G87)</f>
        <v>0</v>
      </c>
      <c r="H86">
        <f>IF(D75&lt;500,D75*F55,H87)</f>
        <v>0</v>
      </c>
      <c r="J86">
        <f>IF(D75&lt;1000,D75*G56,D75*H56)</f>
        <v>0</v>
      </c>
      <c r="M86">
        <f>IF(D75&lt;1000,D75*G59,D75*H59)</f>
        <v>0</v>
      </c>
      <c r="N86">
        <f>IF(D75&lt;1000,D75*G60,D75*H60)</f>
        <v>0</v>
      </c>
      <c r="R86">
        <f>IF(D75&lt;1000,D75*G66,D75*H66)</f>
        <v>0</v>
      </c>
    </row>
    <row r="87" spans="1:20" ht="12.75" hidden="1" customHeight="1" x14ac:dyDescent="0.2">
      <c r="C87">
        <f>IF(D75&lt;1000,D75*G51,D75*H51)</f>
        <v>0</v>
      </c>
      <c r="D87">
        <f>IF(D75&lt;1000,D75*G50,D75*H50)</f>
        <v>0</v>
      </c>
      <c r="F87">
        <f>IF(D75&lt;1000,D75*G52,D75*H52)</f>
        <v>0</v>
      </c>
      <c r="G87">
        <f>IF(D75&lt;1000,D75*G54,D75*H54)</f>
        <v>0</v>
      </c>
      <c r="H87">
        <f>IF(D75&lt;1000,D75*G55,D75*H55)</f>
        <v>0</v>
      </c>
    </row>
    <row r="88" spans="1:20" ht="15.75" x14ac:dyDescent="0.2">
      <c r="A88" s="173" t="s">
        <v>113</v>
      </c>
      <c r="B88" s="173"/>
      <c r="C88" s="173"/>
    </row>
    <row r="90" spans="1:20" x14ac:dyDescent="0.2">
      <c r="B90" s="23" t="s">
        <v>47</v>
      </c>
      <c r="C90" s="23" t="s">
        <v>48</v>
      </c>
      <c r="D90" s="23" t="s">
        <v>49</v>
      </c>
      <c r="E90" s="23" t="s">
        <v>50</v>
      </c>
      <c r="F90" s="188" t="s">
        <v>51</v>
      </c>
      <c r="G90" s="188"/>
    </row>
    <row r="91" spans="1:20" x14ac:dyDescent="0.2">
      <c r="B91" s="53" t="e">
        <f>PRESUPUESTO!F10*PRESUPUESTO!C16</f>
        <v>#DIV/0!</v>
      </c>
      <c r="C91" s="50">
        <v>90</v>
      </c>
      <c r="D91" s="57">
        <v>0.9</v>
      </c>
      <c r="E91" s="56">
        <f>K91</f>
        <v>0</v>
      </c>
      <c r="F91" s="189" t="e">
        <f>B91/C91*D91*E91</f>
        <v>#DIV/0!</v>
      </c>
      <c r="G91" s="189"/>
    </row>
    <row r="93" spans="1:20" x14ac:dyDescent="0.2">
      <c r="B93" s="13" t="s">
        <v>12</v>
      </c>
      <c r="C93" s="13" t="s">
        <v>52</v>
      </c>
      <c r="D93" s="13" t="s">
        <v>53</v>
      </c>
      <c r="E93" s="192" t="s">
        <v>28</v>
      </c>
      <c r="F93" s="192"/>
    </row>
    <row r="94" spans="1:20" x14ac:dyDescent="0.2">
      <c r="B94" s="55" t="s">
        <v>39</v>
      </c>
      <c r="C94" s="50">
        <v>18</v>
      </c>
      <c r="D94" s="52">
        <v>1980</v>
      </c>
      <c r="E94" s="187" t="e">
        <f>D94*F91</f>
        <v>#DIV/0!</v>
      </c>
      <c r="F94" s="187"/>
    </row>
    <row r="95" spans="1:20" x14ac:dyDescent="0.2">
      <c r="B95" s="55" t="s">
        <v>40</v>
      </c>
      <c r="C95" s="50">
        <v>45</v>
      </c>
      <c r="D95" s="52">
        <v>45000</v>
      </c>
      <c r="E95" s="187" t="e">
        <f>D95*F91</f>
        <v>#DIV/0!</v>
      </c>
      <c r="F95" s="187"/>
    </row>
  </sheetData>
  <mergeCells count="49">
    <mergeCell ref="D75:E75"/>
    <mergeCell ref="D79:E79"/>
    <mergeCell ref="D77:E77"/>
    <mergeCell ref="B69:C69"/>
    <mergeCell ref="B70:C70"/>
    <mergeCell ref="D73:G73"/>
    <mergeCell ref="B64:C64"/>
    <mergeCell ref="B65:C65"/>
    <mergeCell ref="B66:C66"/>
    <mergeCell ref="B59:C59"/>
    <mergeCell ref="B60:C60"/>
    <mergeCell ref="B61:C61"/>
    <mergeCell ref="B62:C62"/>
    <mergeCell ref="B52:C52"/>
    <mergeCell ref="B53:C53"/>
    <mergeCell ref="B54:C54"/>
    <mergeCell ref="B63:C63"/>
    <mergeCell ref="B55:C55"/>
    <mergeCell ref="B56:C56"/>
    <mergeCell ref="B57:C57"/>
    <mergeCell ref="B58:C58"/>
    <mergeCell ref="H1:I1"/>
    <mergeCell ref="H2:I2"/>
    <mergeCell ref="A46:D46"/>
    <mergeCell ref="E38:F38"/>
    <mergeCell ref="A40:C40"/>
    <mergeCell ref="A22:C22"/>
    <mergeCell ref="A31:C31"/>
    <mergeCell ref="A4:C4"/>
    <mergeCell ref="A18:C18"/>
    <mergeCell ref="B29:C29"/>
    <mergeCell ref="A1:B1"/>
    <mergeCell ref="C1:F1"/>
    <mergeCell ref="E95:F95"/>
    <mergeCell ref="A88:C88"/>
    <mergeCell ref="F90:G90"/>
    <mergeCell ref="F91:G91"/>
    <mergeCell ref="A2:B2"/>
    <mergeCell ref="C2:F2"/>
    <mergeCell ref="E93:F93"/>
    <mergeCell ref="E94:F94"/>
    <mergeCell ref="E51:F51"/>
    <mergeCell ref="F33:G33"/>
    <mergeCell ref="F34:G34"/>
    <mergeCell ref="E36:F36"/>
    <mergeCell ref="E37:F37"/>
    <mergeCell ref="E48:F48"/>
    <mergeCell ref="E49:F49"/>
    <mergeCell ref="E50:F50"/>
  </mergeCells>
  <phoneticPr fontId="0" type="noConversion"/>
  <printOptions horizontalCentered="1"/>
  <pageMargins left="0.39370078740157483" right="0.39370078740157483" top="0.98425196850393704" bottom="0.39370078740157483" header="0.39370078740157483" footer="0"/>
  <pageSetup paperSize="512" scale="95" orientation="portrait" verticalDpi="0" r:id="rId1"/>
  <headerFooter alignWithMargins="0">
    <oddHeader>&amp;CCOSTOS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43"/>
  <sheetViews>
    <sheetView topLeftCell="A4" workbookViewId="0">
      <selection activeCell="F29" sqref="F29"/>
    </sheetView>
  </sheetViews>
  <sheetFormatPr baseColWidth="10" defaultRowHeight="12.75" x14ac:dyDescent="0.2"/>
  <cols>
    <col min="1" max="1" width="12.5703125" customWidth="1"/>
  </cols>
  <sheetData>
    <row r="2" spans="1:7" x14ac:dyDescent="0.2">
      <c r="D2" s="10"/>
      <c r="E2" s="35" t="s">
        <v>70</v>
      </c>
      <c r="F2" s="212">
        <f ca="1">PRESUPUESTO!I1</f>
        <v>45733.661656365701</v>
      </c>
      <c r="G2" s="212"/>
    </row>
    <row r="3" spans="1:7" ht="25.5" customHeight="1" x14ac:dyDescent="0.2"/>
    <row r="4" spans="1:7" ht="15.75" customHeight="1" x14ac:dyDescent="0.2">
      <c r="A4" t="s">
        <v>74</v>
      </c>
      <c r="B4" s="216">
        <f>PRESUPUESTO!C1</f>
        <v>0</v>
      </c>
      <c r="C4" s="216"/>
      <c r="D4" s="216"/>
      <c r="E4" s="216"/>
      <c r="F4" s="216"/>
    </row>
    <row r="5" spans="1:7" ht="15.75" customHeight="1" x14ac:dyDescent="0.2"/>
    <row r="6" spans="1:7" ht="15.75" customHeight="1" x14ac:dyDescent="0.2">
      <c r="A6" t="s">
        <v>75</v>
      </c>
    </row>
    <row r="7" spans="1:7" ht="15.75" customHeight="1" x14ac:dyDescent="0.2">
      <c r="A7" t="s">
        <v>76</v>
      </c>
    </row>
    <row r="8" spans="1:7" ht="18.75" customHeight="1" thickBot="1" x14ac:dyDescent="0.25"/>
    <row r="9" spans="1:7" ht="22.5" customHeight="1" thickBot="1" x14ac:dyDescent="0.25">
      <c r="A9" s="213" t="s">
        <v>71</v>
      </c>
      <c r="B9" s="214"/>
      <c r="C9" s="214"/>
      <c r="D9" s="214"/>
      <c r="E9" s="214"/>
      <c r="F9" s="214"/>
      <c r="G9" s="215"/>
    </row>
    <row r="10" spans="1:7" ht="18.75" customHeight="1" x14ac:dyDescent="0.2"/>
    <row r="11" spans="1:7" ht="15.75" customHeight="1" x14ac:dyDescent="0.2">
      <c r="A11" s="1" t="s">
        <v>72</v>
      </c>
      <c r="B11" s="217">
        <f>PRESUPUESTO!C2</f>
        <v>0</v>
      </c>
      <c r="C11" s="218"/>
      <c r="D11" s="92"/>
      <c r="E11" s="86"/>
      <c r="F11" s="210"/>
      <c r="G11" s="181"/>
    </row>
    <row r="12" spans="1:7" ht="15.75" customHeight="1" x14ac:dyDescent="0.2">
      <c r="B12" s="85"/>
      <c r="C12" s="85"/>
      <c r="F12" s="85"/>
      <c r="G12" s="85"/>
    </row>
    <row r="13" spans="1:7" ht="15.75" customHeight="1" x14ac:dyDescent="0.2">
      <c r="A13" s="28" t="s">
        <v>73</v>
      </c>
      <c r="B13" s="180">
        <f>PRESUPUESTO!I2</f>
        <v>0</v>
      </c>
      <c r="C13" s="181"/>
      <c r="F13" s="85"/>
      <c r="G13" s="85"/>
    </row>
    <row r="15" spans="1:7" ht="15.75" customHeight="1" x14ac:dyDescent="0.2">
      <c r="A15" s="1" t="s">
        <v>4</v>
      </c>
      <c r="B15" s="180" t="str">
        <f>PRESUPUESTO!C20</f>
        <v>PVC Autoad.</v>
      </c>
      <c r="C15" s="181"/>
      <c r="E15" s="28" t="s">
        <v>12</v>
      </c>
      <c r="F15" s="180" t="str">
        <f>PRESUPUESTO!C26</f>
        <v>Convencional</v>
      </c>
      <c r="G15" s="181"/>
    </row>
    <row r="16" spans="1:7" ht="15.75" customHeight="1" x14ac:dyDescent="0.2">
      <c r="B16" s="85"/>
      <c r="C16" s="85"/>
      <c r="F16" s="85"/>
      <c r="G16" s="85"/>
    </row>
    <row r="17" spans="1:7" ht="15.75" customHeight="1" x14ac:dyDescent="0.2">
      <c r="A17" s="93" t="s">
        <v>102</v>
      </c>
      <c r="B17" s="58" t="s">
        <v>103</v>
      </c>
      <c r="C17" s="94">
        <f>PRESUPUESTO!C8</f>
        <v>0</v>
      </c>
      <c r="D17" s="91" t="s">
        <v>104</v>
      </c>
      <c r="E17" s="90">
        <f>PRESUPUESTO!F8</f>
        <v>0</v>
      </c>
      <c r="F17" s="58" t="s">
        <v>105</v>
      </c>
      <c r="G17" s="94">
        <f>PRESUPUESTO!I8</f>
        <v>0</v>
      </c>
    </row>
    <row r="18" spans="1:7" ht="15.75" customHeight="1" x14ac:dyDescent="0.2">
      <c r="B18" s="85"/>
      <c r="C18" s="85"/>
      <c r="F18" s="85"/>
      <c r="G18" s="85"/>
    </row>
    <row r="19" spans="1:7" ht="15.75" customHeight="1" x14ac:dyDescent="0.2">
      <c r="A19" s="28" t="s">
        <v>99</v>
      </c>
      <c r="B19" s="88">
        <f>PRESUPUESTO!C14</f>
        <v>0</v>
      </c>
      <c r="C19" s="85"/>
      <c r="D19" s="87" t="s">
        <v>100</v>
      </c>
      <c r="E19" s="89">
        <f>PRESUPUESTO!F14</f>
        <v>0</v>
      </c>
      <c r="F19" s="84"/>
      <c r="G19" s="83"/>
    </row>
    <row r="20" spans="1:7" ht="18.75" customHeight="1" x14ac:dyDescent="0.2"/>
    <row r="21" spans="1:7" ht="15.75" customHeight="1" x14ac:dyDescent="0.2">
      <c r="A21" s="1" t="s">
        <v>17</v>
      </c>
      <c r="B21" s="58" t="str">
        <f>IF(PRESUPUESTO!E30=0,"No","Si")</f>
        <v>No</v>
      </c>
      <c r="C21" s="10"/>
      <c r="D21" s="1" t="s">
        <v>54</v>
      </c>
      <c r="E21" s="58" t="str">
        <f>IF(PRESUPUESTO!E32=0,"No","Si")</f>
        <v>No</v>
      </c>
    </row>
    <row r="23" spans="1:7" ht="15.75" customHeight="1" x14ac:dyDescent="0.2">
      <c r="A23" s="1" t="s">
        <v>55</v>
      </c>
      <c r="B23" s="58" t="str">
        <f>IF(PRESUPUESTO!E34=0,"No","Si")</f>
        <v>No</v>
      </c>
      <c r="D23" s="1" t="s">
        <v>56</v>
      </c>
      <c r="E23" s="58" t="str">
        <f>IF(PRESUPUESTO!E36=0,"No","Si")</f>
        <v>No</v>
      </c>
    </row>
    <row r="25" spans="1:7" ht="15.75" customHeight="1" x14ac:dyDescent="0.2">
      <c r="A25" s="1" t="s">
        <v>57</v>
      </c>
      <c r="B25" s="58" t="str">
        <f>IF(PRESUPUESTO!E38=0,"No","Si")</f>
        <v>No</v>
      </c>
      <c r="D25" s="1" t="s">
        <v>58</v>
      </c>
      <c r="E25" s="58" t="str">
        <f>IF(PRESUPUESTO!E38=0,"No","Si")</f>
        <v>No</v>
      </c>
    </row>
    <row r="26" spans="1:7" ht="30" customHeight="1" x14ac:dyDescent="0.2"/>
    <row r="27" spans="1:7" ht="22.5" customHeight="1" thickBot="1" x14ac:dyDescent="0.3">
      <c r="A27" s="219" t="s">
        <v>79</v>
      </c>
      <c r="B27" s="219"/>
      <c r="C27" s="220" t="e">
        <f>PRESUPUESTO!E56</f>
        <v>#DIV/0!</v>
      </c>
      <c r="D27" s="221"/>
      <c r="E27" s="70" t="e">
        <f>PRESUPUESTO!F56</f>
        <v>#DIV/0!</v>
      </c>
      <c r="F27" s="71" t="s">
        <v>80</v>
      </c>
    </row>
    <row r="28" spans="1:7" ht="15.75" customHeight="1" x14ac:dyDescent="0.2">
      <c r="C28" s="211" t="s">
        <v>81</v>
      </c>
      <c r="D28" s="211"/>
      <c r="E28" s="211"/>
      <c r="F28" s="211"/>
    </row>
    <row r="29" spans="1:7" ht="22.5" customHeight="1" x14ac:dyDescent="0.2"/>
    <row r="30" spans="1:7" ht="15.75" customHeight="1" x14ac:dyDescent="0.2">
      <c r="A30" s="67" t="s">
        <v>89</v>
      </c>
      <c r="B30" s="72"/>
      <c r="C30" s="72"/>
      <c r="D30" s="72"/>
    </row>
    <row r="31" spans="1:7" ht="15.75" customHeight="1" x14ac:dyDescent="0.2">
      <c r="A31" s="68" t="s">
        <v>118</v>
      </c>
      <c r="B31" s="72"/>
      <c r="C31" s="72"/>
      <c r="D31" s="72"/>
    </row>
    <row r="32" spans="1:7" ht="14.25" customHeight="1" x14ac:dyDescent="0.2">
      <c r="A32" s="69"/>
      <c r="B32" s="1"/>
      <c r="C32" s="1"/>
      <c r="D32" s="1"/>
      <c r="E32" s="1"/>
      <c r="F32" s="1"/>
      <c r="G32" s="1"/>
    </row>
    <row r="33" spans="1:7" ht="14.25" customHeight="1" x14ac:dyDescent="0.2">
      <c r="A33" s="66"/>
    </row>
    <row r="34" spans="1:7" ht="22.5" customHeight="1" x14ac:dyDescent="0.2">
      <c r="A34" t="s">
        <v>82</v>
      </c>
    </row>
    <row r="39" spans="1:7" ht="15.75" customHeight="1" x14ac:dyDescent="0.2">
      <c r="E39" s="5" t="s">
        <v>117</v>
      </c>
      <c r="F39" s="5"/>
      <c r="G39" s="61"/>
    </row>
    <row r="40" spans="1:7" ht="15.75" customHeight="1" x14ac:dyDescent="0.2">
      <c r="D40" s="5" t="s">
        <v>106</v>
      </c>
      <c r="E40" s="5" t="s">
        <v>116</v>
      </c>
      <c r="F40" s="5"/>
      <c r="G40" s="5"/>
    </row>
    <row r="41" spans="1:7" ht="15.75" customHeight="1" x14ac:dyDescent="0.2">
      <c r="D41" s="5" t="s">
        <v>107</v>
      </c>
      <c r="E41" s="5"/>
      <c r="F41" s="5"/>
      <c r="G41" s="5"/>
    </row>
    <row r="42" spans="1:7" ht="15.75" customHeight="1" x14ac:dyDescent="0.2">
      <c r="D42" s="5" t="s">
        <v>108</v>
      </c>
      <c r="E42" s="5"/>
      <c r="F42" s="5"/>
      <c r="G42" s="109"/>
    </row>
    <row r="43" spans="1:7" x14ac:dyDescent="0.2">
      <c r="D43" s="5" t="s">
        <v>112</v>
      </c>
      <c r="E43" s="5"/>
      <c r="F43" s="5"/>
      <c r="G43" s="5"/>
    </row>
  </sheetData>
  <mergeCells count="11">
    <mergeCell ref="C28:F28"/>
    <mergeCell ref="F2:G2"/>
    <mergeCell ref="A9:G9"/>
    <mergeCell ref="F11:G11"/>
    <mergeCell ref="F15:G15"/>
    <mergeCell ref="B4:F4"/>
    <mergeCell ref="B15:C15"/>
    <mergeCell ref="B11:C11"/>
    <mergeCell ref="B13:C13"/>
    <mergeCell ref="A27:B27"/>
    <mergeCell ref="C27:D27"/>
  </mergeCells>
  <phoneticPr fontId="0" type="noConversion"/>
  <printOptions horizontalCentered="1"/>
  <pageMargins left="0.59055118110236227" right="0.59055118110236227" top="1.1811023622047245" bottom="0.78740157480314965" header="0" footer="0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34"/>
  <sheetViews>
    <sheetView workbookViewId="0">
      <selection activeCell="A5" sqref="A5"/>
    </sheetView>
  </sheetViews>
  <sheetFormatPr baseColWidth="10" defaultRowHeight="12.75" x14ac:dyDescent="0.2"/>
  <cols>
    <col min="2" max="2" width="12.28515625" bestFit="1" customWidth="1"/>
  </cols>
  <sheetData>
    <row r="2" spans="1:7" x14ac:dyDescent="0.2">
      <c r="D2" s="10"/>
      <c r="E2" s="35" t="s">
        <v>70</v>
      </c>
      <c r="F2" s="222">
        <f ca="1">PRESUPUESTO!I1</f>
        <v>45733.661656365701</v>
      </c>
      <c r="G2" s="222"/>
    </row>
    <row r="3" spans="1:7" ht="25.5" customHeight="1" x14ac:dyDescent="0.2"/>
    <row r="4" spans="1:7" ht="15.75" customHeight="1" x14ac:dyDescent="0.2">
      <c r="A4" t="s">
        <v>74</v>
      </c>
      <c r="B4" s="216">
        <f>PRESUPUESTO!C1</f>
        <v>0</v>
      </c>
      <c r="C4" s="216"/>
      <c r="D4" s="216"/>
      <c r="E4" s="216"/>
      <c r="F4" s="216"/>
    </row>
    <row r="5" spans="1:7" ht="15.75" customHeight="1" x14ac:dyDescent="0.2"/>
    <row r="6" spans="1:7" ht="15.75" customHeight="1" x14ac:dyDescent="0.2">
      <c r="A6" t="s">
        <v>75</v>
      </c>
    </row>
    <row r="7" spans="1:7" ht="15.75" customHeight="1" x14ac:dyDescent="0.2">
      <c r="A7" t="s">
        <v>76</v>
      </c>
    </row>
    <row r="8" spans="1:7" ht="18.75" customHeight="1" thickBot="1" x14ac:dyDescent="0.25"/>
    <row r="9" spans="1:7" ht="22.5" customHeight="1" thickBot="1" x14ac:dyDescent="0.25">
      <c r="A9" s="213" t="s">
        <v>71</v>
      </c>
      <c r="B9" s="214"/>
      <c r="C9" s="214"/>
      <c r="D9" s="214"/>
      <c r="E9" s="214"/>
      <c r="F9" s="214"/>
      <c r="G9" s="215"/>
    </row>
    <row r="10" spans="1:7" ht="18.75" customHeight="1" x14ac:dyDescent="0.2"/>
    <row r="11" spans="1:7" ht="15.75" customHeight="1" x14ac:dyDescent="0.2">
      <c r="A11" s="1" t="s">
        <v>72</v>
      </c>
      <c r="B11" s="180">
        <f>PRESUPUESTO!C61</f>
        <v>0</v>
      </c>
      <c r="C11" s="210"/>
      <c r="D11" s="210"/>
      <c r="E11" s="181"/>
      <c r="F11" s="223"/>
      <c r="G11" s="223"/>
    </row>
    <row r="13" spans="1:7" ht="15.75" customHeight="1" x14ac:dyDescent="0.2">
      <c r="A13" s="1" t="s">
        <v>73</v>
      </c>
      <c r="B13" s="180">
        <f>PRESUPUESTO!I2</f>
        <v>0</v>
      </c>
      <c r="C13" s="181"/>
      <c r="D13" s="79"/>
      <c r="E13" s="81"/>
      <c r="F13" s="223"/>
      <c r="G13" s="223"/>
    </row>
    <row r="14" spans="1:7" ht="12.75" customHeight="1" x14ac:dyDescent="0.2"/>
    <row r="15" spans="1:7" ht="15.75" customHeight="1" x14ac:dyDescent="0.2">
      <c r="A15" s="28" t="s">
        <v>14</v>
      </c>
      <c r="B15" s="58">
        <f>PRESUPUESTO!C65</f>
        <v>0</v>
      </c>
    </row>
    <row r="16" spans="1:7" ht="12.75" customHeight="1" x14ac:dyDescent="0.2"/>
    <row r="17" spans="1:7" ht="15.75" customHeight="1" x14ac:dyDescent="0.2">
      <c r="A17" s="1" t="s">
        <v>97</v>
      </c>
      <c r="B17" s="58" t="str">
        <f>IF(PRESUPUESTO!E69=0,"No","Si")</f>
        <v>No</v>
      </c>
      <c r="C17" s="10"/>
      <c r="D17" s="1" t="s">
        <v>93</v>
      </c>
      <c r="E17" s="58" t="str">
        <f>IF(PRESUPUESTO!E71=0,"No","Si")</f>
        <v>No</v>
      </c>
    </row>
    <row r="18" spans="1:7" ht="30" customHeight="1" x14ac:dyDescent="0.2"/>
    <row r="19" spans="1:7" ht="22.5" customHeight="1" thickBot="1" x14ac:dyDescent="0.3">
      <c r="A19" s="219" t="s">
        <v>79</v>
      </c>
      <c r="B19" s="219"/>
      <c r="C19" s="220">
        <f>PRESUPUESTO!E73</f>
        <v>0</v>
      </c>
      <c r="D19" s="221"/>
      <c r="E19" s="70">
        <f>PRESUPUESTO!F73</f>
        <v>0</v>
      </c>
      <c r="F19" s="71" t="s">
        <v>80</v>
      </c>
    </row>
    <row r="20" spans="1:7" ht="15.75" customHeight="1" x14ac:dyDescent="0.2">
      <c r="C20" s="211" t="s">
        <v>81</v>
      </c>
      <c r="D20" s="211"/>
      <c r="E20" s="211"/>
      <c r="F20" s="211"/>
    </row>
    <row r="21" spans="1:7" ht="22.5" customHeight="1" x14ac:dyDescent="0.2"/>
    <row r="22" spans="1:7" ht="15.75" customHeight="1" x14ac:dyDescent="0.2">
      <c r="A22" s="67" t="s">
        <v>98</v>
      </c>
      <c r="B22" s="72"/>
      <c r="C22" s="72"/>
      <c r="D22" s="72"/>
      <c r="E22" s="80"/>
    </row>
    <row r="23" spans="1:7" ht="15.75" customHeight="1" x14ac:dyDescent="0.2">
      <c r="A23" s="68" t="s">
        <v>90</v>
      </c>
      <c r="B23" s="72"/>
      <c r="C23" s="72"/>
      <c r="D23" s="72"/>
    </row>
    <row r="24" spans="1:7" ht="14.25" customHeight="1" x14ac:dyDescent="0.2">
      <c r="A24" s="82"/>
      <c r="B24" s="1"/>
      <c r="C24" s="1"/>
      <c r="D24" s="1"/>
      <c r="E24" s="1"/>
      <c r="F24" s="1"/>
      <c r="G24" s="1"/>
    </row>
    <row r="25" spans="1:7" ht="14.25" customHeight="1" x14ac:dyDescent="0.2">
      <c r="A25" s="66"/>
    </row>
    <row r="26" spans="1:7" ht="22.5" customHeight="1" x14ac:dyDescent="0.2">
      <c r="A26" t="s">
        <v>82</v>
      </c>
    </row>
    <row r="31" spans="1:7" ht="15.75" customHeight="1" x14ac:dyDescent="0.2">
      <c r="G31" s="61" t="s">
        <v>83</v>
      </c>
    </row>
    <row r="32" spans="1:7" ht="15.75" customHeight="1" x14ac:dyDescent="0.2">
      <c r="G32" s="35" t="s">
        <v>84</v>
      </c>
    </row>
    <row r="33" spans="7:7" ht="15.75" customHeight="1" x14ac:dyDescent="0.2">
      <c r="G33" s="35" t="s">
        <v>85</v>
      </c>
    </row>
    <row r="34" spans="7:7" ht="15.75" customHeight="1" x14ac:dyDescent="0.2">
      <c r="G34" s="35" t="s">
        <v>86</v>
      </c>
    </row>
  </sheetData>
  <mergeCells count="10">
    <mergeCell ref="C20:F20"/>
    <mergeCell ref="F2:G2"/>
    <mergeCell ref="A9:G9"/>
    <mergeCell ref="F11:G11"/>
    <mergeCell ref="F13:G13"/>
    <mergeCell ref="B4:F4"/>
    <mergeCell ref="B11:E11"/>
    <mergeCell ref="B13:C13"/>
    <mergeCell ref="A19:B19"/>
    <mergeCell ref="C19:D19"/>
  </mergeCells>
  <phoneticPr fontId="0" type="noConversion"/>
  <printOptions horizontalCentered="1"/>
  <pageMargins left="0.59055118110236227" right="0.59055118110236227" top="1.1811023622047245" bottom="0.78740157480314965" header="0" footer="0"/>
  <pageSetup paperSize="9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ORDEN PEDIDO</vt:lpstr>
      <vt:lpstr>PRESUPUESTO</vt:lpstr>
      <vt:lpstr>COSTOS</vt:lpstr>
      <vt:lpstr>PRESUPUESTO (IMP PLANA) CLIENTE</vt:lpstr>
      <vt:lpstr>PRESUPUESTO (IMP CILIN) CLIENTE</vt:lpstr>
      <vt:lpstr>'ORDEN PEDIDO'!Área_de_impresión</vt:lpstr>
    </vt:vector>
  </TitlesOfParts>
  <Company>Mariano Serigrafia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Presupuesto</dc:title>
  <dc:creator>Gabriela Monteforte</dc:creator>
  <cp:lastModifiedBy>usuario</cp:lastModifiedBy>
  <cp:lastPrinted>2010-08-03T19:00:45Z</cp:lastPrinted>
  <dcterms:created xsi:type="dcterms:W3CDTF">2003-11-08T18:09:27Z</dcterms:created>
  <dcterms:modified xsi:type="dcterms:W3CDTF">2025-03-17T18:52:51Z</dcterms:modified>
</cp:coreProperties>
</file>