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lm\Documents\WorkingFolder\ProjectRoot\projects\GMAT\GMAT-Automation\"/>
    </mc:Choice>
  </mc:AlternateContent>
  <xr:revisionPtr revIDLastSave="0" documentId="13_ncr:1_{BF22880C-FB4B-4B94-A716-0233BCC61025}" xr6:coauthVersionLast="40" xr6:coauthVersionMax="40" xr10:uidLastSave="{00000000-0000-0000-0000-000000000000}"/>
  <bookViews>
    <workbookView xWindow="780" yWindow="780" windowWidth="21600" windowHeight="11835" tabRatio="983" xr2:uid="{B46CED55-D31E-4830-8707-8BA8DF62075B}"/>
  </bookViews>
  <sheets>
    <sheet name="Revisions" sheetId="48" r:id="rId1"/>
    <sheet name="Original Optimization" sheetId="41" r:id="rId2"/>
    <sheet name="Financial Factors" sheetId="51" r:id="rId3"/>
    <sheet name="Cost of Sales" sheetId="52" r:id="rId4"/>
    <sheet name="Mission Params" sheetId="47" r:id="rId5"/>
    <sheet name="350V Set-points" sheetId="49" r:id="rId6"/>
    <sheet name="400V Set-points" sheetId="4" r:id="rId7"/>
    <sheet name="600V Set-points" sheetId="42" r:id="rId8"/>
    <sheet name="800V Set-points" sheetId="46" r:id="rId9"/>
    <sheet name="optimalconfigs" sheetId="57" r:id="rId10"/>
    <sheet name="GMAT" sheetId="59" r:id="rId11"/>
    <sheet name="IRR Cases" sheetId="50" r:id="rId12"/>
  </sheets>
  <externalReferences>
    <externalReference r:id="rId13"/>
  </externalReferences>
  <definedNames>
    <definedName name="Cost_of_Sales">'Cost of Sales'!$F$15</definedName>
    <definedName name="Costates">'Mission Params'!$C$16:$C$17</definedName>
    <definedName name="_xlnm.Criteria">'Mission Params'!$B$25</definedName>
    <definedName name="Delta_V">'Mission Params'!$B$13:$B$14</definedName>
    <definedName name="Epoch_1">'Mission Params'!$B$20</definedName>
    <definedName name="Epoch_2">'Mission Params'!$B$21</definedName>
    <definedName name="Epoch_3">'Mission Params'!$B$22</definedName>
    <definedName name="Epoch_4">'Mission Params'!$B$23</definedName>
    <definedName name="ExternalData_1" localSheetId="10" hidden="1">GMAT!$A$1:$J$84</definedName>
    <definedName name="Final_SMA">'Mission Params'!$B$6</definedName>
    <definedName name="g0">'Mission Params'!$B$2</definedName>
    <definedName name="Inclination1">'Mission Params'!$B$16</definedName>
    <definedName name="Inclination2">'Mission Params'!$B$17</definedName>
    <definedName name="Inclinations" comment="Used by GMAT automation">'Mission Params'!$B$16:$B$17</definedName>
    <definedName name="Inflation">'Financial Factors'!$B$5</definedName>
    <definedName name="Initial_Invested">'Financial Factors'!$B$1</definedName>
    <definedName name="Initial_SMA">'Mission Params'!$B$5</definedName>
    <definedName name="Launch_Cost">'Cost of Sales'!$F$21</definedName>
    <definedName name="Life">'Financial Factors'!$B$2</definedName>
    <definedName name="Mission_Name" comment="Used by GMAT automation">'Mission Params'!$B$1</definedName>
    <definedName name="Prop_Fraction_4063W">'Mission Params'!$F$30</definedName>
    <definedName name="Prop_Fraction_4537W">'Mission Params'!$F$33</definedName>
    <definedName name="Prop_Fraction_4544W">'Mission Params'!$F$36</definedName>
    <definedName name="Prop_Fraction_4563W">'Mission Params'!$F$39</definedName>
    <definedName name="Prop_Fraction_5999W">'Mission Params'!$F$31</definedName>
    <definedName name="Prop_Fraction_6295W">'Mission Params'!$F$34</definedName>
    <definedName name="Prop_Fraction_6327W">'Mission Params'!$F$37</definedName>
    <definedName name="Prop_Fraction_6342W">'Mission Params'!$F$40</definedName>
    <definedName name="Prop_Fraction_8047W">'Mission Params'!$F$41</definedName>
    <definedName name="Prop_Fraction_8058W">'Mission Params'!$F$38</definedName>
    <definedName name="Prop_Fraction_8060W">'Mission Params'!$F$32</definedName>
    <definedName name="Prop_Fraction_8061W">'Mission Params'!$F$35</definedName>
    <definedName name="Prop_per_mission">'[1]IRR-32x8061'!$B$4</definedName>
    <definedName name="Prop_reserve">'[1]IRR-32x8061'!$B$5</definedName>
    <definedName name="Provision_Period">'Financial Factors'!$B$4</definedName>
    <definedName name="Radius_Earth">'Mission Params'!$E$40</definedName>
    <definedName name="Revenue_per_kg">'Cost of Sales'!$F$18</definedName>
    <definedName name="Revenue_Per_PL">'Financial Factors'!$B$3</definedName>
    <definedName name="Starting_Epoch">'Mission Params'!$B$20:$E$23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50" i="59" l="1"/>
  <c r="G51" i="59"/>
  <c r="G52" i="59"/>
  <c r="G53" i="59"/>
  <c r="G54" i="59"/>
  <c r="G55" i="59"/>
  <c r="G56" i="59"/>
  <c r="G57" i="59"/>
  <c r="G58" i="59"/>
  <c r="G59" i="59"/>
  <c r="G60" i="59"/>
  <c r="G61" i="59"/>
  <c r="G62" i="59"/>
  <c r="G63" i="59"/>
  <c r="G64" i="59"/>
  <c r="G65" i="59"/>
  <c r="G66" i="59"/>
  <c r="G67" i="59"/>
  <c r="G68" i="59"/>
  <c r="G69" i="59"/>
  <c r="G70" i="59"/>
  <c r="G71" i="59"/>
  <c r="G72" i="59"/>
  <c r="G73" i="59"/>
  <c r="G74" i="59"/>
  <c r="G75" i="59"/>
  <c r="G76" i="59"/>
  <c r="G77" i="59"/>
  <c r="G78" i="59"/>
  <c r="G79" i="59"/>
  <c r="G80" i="59"/>
  <c r="G81" i="59"/>
  <c r="G82" i="59"/>
  <c r="G83" i="59"/>
  <c r="G84" i="59"/>
  <c r="G49" i="59"/>
  <c r="K47" i="59"/>
  <c r="K84" i="59"/>
  <c r="K83" i="59"/>
  <c r="K82" i="59"/>
  <c r="K81" i="59"/>
  <c r="K80" i="59"/>
  <c r="K79" i="59"/>
  <c r="K78" i="59"/>
  <c r="K77" i="59"/>
  <c r="K76" i="59"/>
  <c r="K75" i="59"/>
  <c r="K74" i="59"/>
  <c r="K73" i="59"/>
  <c r="K72" i="59"/>
  <c r="K71" i="59"/>
  <c r="K70" i="59"/>
  <c r="K69" i="59"/>
  <c r="K68" i="59"/>
  <c r="K67" i="59"/>
  <c r="K66" i="59"/>
  <c r="K65" i="59"/>
  <c r="K64" i="59"/>
  <c r="K63" i="59"/>
  <c r="K62" i="59"/>
  <c r="K61" i="59"/>
  <c r="K60" i="59"/>
  <c r="K59" i="59"/>
  <c r="K58" i="59"/>
  <c r="K57" i="59"/>
  <c r="K56" i="59"/>
  <c r="K55" i="59"/>
  <c r="K54" i="59"/>
  <c r="K53" i="59"/>
  <c r="K52" i="59"/>
  <c r="K51" i="59"/>
  <c r="K50" i="59"/>
  <c r="K49" i="59"/>
  <c r="M20" i="59" l="1"/>
  <c r="Z3" i="50"/>
  <c r="Z4" i="50"/>
  <c r="Z5" i="50"/>
  <c r="Z6" i="50"/>
  <c r="Z7" i="50"/>
  <c r="Z8" i="50"/>
  <c r="Z9" i="50"/>
  <c r="Z10" i="50"/>
  <c r="Z11" i="50"/>
  <c r="Z12" i="50"/>
  <c r="Z13" i="50"/>
  <c r="Z14" i="50"/>
  <c r="Z15" i="50"/>
  <c r="Z16" i="50"/>
  <c r="Z17" i="50"/>
  <c r="Z18" i="50"/>
  <c r="Z19" i="50"/>
  <c r="Z20" i="50"/>
  <c r="Z21" i="50"/>
  <c r="Z22" i="50"/>
  <c r="Z23" i="50"/>
  <c r="Z24" i="50"/>
  <c r="Z25" i="50"/>
  <c r="Z26" i="50"/>
  <c r="Z27" i="50"/>
  <c r="Z28" i="50"/>
  <c r="Z29" i="50"/>
  <c r="Z30" i="50"/>
  <c r="Z31" i="50"/>
  <c r="Z32" i="50"/>
  <c r="Z33" i="50"/>
  <c r="Z34" i="50"/>
  <c r="Z35" i="50"/>
  <c r="Z36" i="50"/>
  <c r="Z37" i="50"/>
  <c r="Z38" i="50"/>
  <c r="Z39" i="50"/>
  <c r="Z40" i="50"/>
  <c r="Z41" i="50"/>
  <c r="Z42" i="50"/>
  <c r="Z43" i="50"/>
  <c r="Z44" i="50"/>
  <c r="Z45" i="50"/>
  <c r="Z46" i="50"/>
  <c r="Z47" i="50"/>
  <c r="Z48" i="50"/>
  <c r="AB3" i="50"/>
  <c r="AB4" i="50"/>
  <c r="AB5" i="50"/>
  <c r="AB6" i="50"/>
  <c r="AB7" i="50"/>
  <c r="AB8" i="50"/>
  <c r="AB9" i="50"/>
  <c r="AB10" i="50"/>
  <c r="AB11" i="50"/>
  <c r="AB12" i="50"/>
  <c r="AB13" i="50"/>
  <c r="AB14" i="50"/>
  <c r="AB15" i="50"/>
  <c r="AB16" i="50"/>
  <c r="AB17" i="50"/>
  <c r="AB18" i="50"/>
  <c r="AB19" i="50"/>
  <c r="AB20" i="50"/>
  <c r="AB21" i="50"/>
  <c r="AB22" i="50"/>
  <c r="AB23" i="50"/>
  <c r="AB24" i="50"/>
  <c r="AB25" i="50"/>
  <c r="AB26" i="50"/>
  <c r="AB27" i="50"/>
  <c r="AB28" i="50"/>
  <c r="AB29" i="50"/>
  <c r="AB30" i="50"/>
  <c r="AB31" i="50"/>
  <c r="AB32" i="50"/>
  <c r="AB33" i="50"/>
  <c r="AB34" i="50"/>
  <c r="AB35" i="50"/>
  <c r="AB36" i="50"/>
  <c r="AB37" i="50"/>
  <c r="AB38" i="50"/>
  <c r="AB39" i="50"/>
  <c r="AB40" i="50"/>
  <c r="AB41" i="50"/>
  <c r="AB42" i="50"/>
  <c r="AB43" i="50"/>
  <c r="AB44" i="50"/>
  <c r="AB45" i="50"/>
  <c r="AB46" i="50"/>
  <c r="AB47" i="50"/>
  <c r="AB48" i="50"/>
  <c r="F31" i="47"/>
  <c r="F32" i="47"/>
  <c r="F33" i="47"/>
  <c r="F34" i="47"/>
  <c r="F35" i="47"/>
  <c r="F36" i="47"/>
  <c r="F37" i="47"/>
  <c r="F38" i="47"/>
  <c r="F39" i="47"/>
  <c r="F40" i="47"/>
  <c r="F41" i="47"/>
  <c r="F30" i="47"/>
  <c r="O20" i="59"/>
  <c r="M21" i="59"/>
  <c r="P20" i="59" l="1"/>
  <c r="H3" i="47"/>
  <c r="H4" i="47" s="1"/>
  <c r="H5" i="47" s="1"/>
  <c r="B7" i="47" l="1"/>
  <c r="E7" i="47" s="1"/>
  <c r="F7" i="47" s="1"/>
  <c r="K7" i="59" l="1"/>
  <c r="K12" i="59"/>
  <c r="K19" i="59"/>
  <c r="K31" i="59"/>
  <c r="K36" i="59"/>
  <c r="K46" i="59"/>
  <c r="K8" i="59"/>
  <c r="K9" i="59"/>
  <c r="K13" i="59"/>
  <c r="K20" i="59"/>
  <c r="K22" i="59"/>
  <c r="K32" i="59"/>
  <c r="K37" i="59"/>
  <c r="K38" i="59"/>
  <c r="K48" i="59"/>
  <c r="K3" i="59"/>
  <c r="K6" i="59"/>
  <c r="K10" i="59"/>
  <c r="K14" i="59"/>
  <c r="K18" i="59"/>
  <c r="K23" i="59"/>
  <c r="K24" i="59"/>
  <c r="K29" i="59"/>
  <c r="K30" i="59"/>
  <c r="K33" i="59"/>
  <c r="K39" i="59"/>
  <c r="K40" i="59"/>
  <c r="K45" i="59"/>
  <c r="K2" i="59"/>
  <c r="K4" i="59"/>
  <c r="K5" i="59"/>
  <c r="K11" i="59"/>
  <c r="K15" i="59"/>
  <c r="K16" i="59"/>
  <c r="K17" i="59"/>
  <c r="K21" i="59"/>
  <c r="K25" i="59"/>
  <c r="K26" i="59"/>
  <c r="K27" i="59"/>
  <c r="K28" i="59"/>
  <c r="K34" i="59"/>
  <c r="K35" i="59"/>
  <c r="K41" i="59"/>
  <c r="K42" i="59"/>
  <c r="K43" i="59"/>
  <c r="K44" i="59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43" i="49"/>
  <c r="C42" i="49"/>
  <c r="C41" i="49"/>
  <c r="C40" i="49"/>
  <c r="C39" i="49"/>
  <c r="C38" i="49"/>
  <c r="C37" i="49"/>
  <c r="C36" i="49"/>
  <c r="C35" i="49"/>
  <c r="C34" i="49"/>
  <c r="C33" i="49"/>
  <c r="C32" i="49"/>
  <c r="C31" i="49"/>
  <c r="C30" i="49"/>
  <c r="C29" i="49"/>
  <c r="C28" i="49"/>
  <c r="C27" i="49"/>
  <c r="C26" i="49"/>
  <c r="C25" i="49"/>
  <c r="C24" i="49"/>
  <c r="C23" i="49"/>
  <c r="C22" i="49"/>
  <c r="C21" i="49"/>
  <c r="C20" i="49"/>
  <c r="C19" i="49"/>
  <c r="C18" i="49"/>
  <c r="C17" i="49"/>
  <c r="C16" i="49"/>
  <c r="C15" i="49"/>
  <c r="C14" i="49"/>
  <c r="C13" i="49"/>
  <c r="C12" i="49"/>
  <c r="C11" i="49"/>
  <c r="C10" i="49"/>
  <c r="C9" i="49"/>
  <c r="C8" i="49"/>
  <c r="C7" i="49"/>
  <c r="C6" i="49"/>
  <c r="C5" i="49"/>
  <c r="C4" i="49"/>
  <c r="C3" i="49"/>
  <c r="C2" i="49"/>
  <c r="C2" i="4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  <c r="C4" i="42"/>
  <c r="C3" i="42"/>
  <c r="C2" i="42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C2" i="46"/>
  <c r="D170" i="57"/>
  <c r="D171" i="57"/>
  <c r="D172" i="57"/>
  <c r="D173" i="57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35" i="42"/>
  <c r="B36" i="42"/>
  <c r="B37" i="42"/>
  <c r="B38" i="42"/>
  <c r="B39" i="42"/>
  <c r="B40" i="42"/>
  <c r="B41" i="42"/>
  <c r="B42" i="42"/>
  <c r="B43" i="42"/>
  <c r="B3" i="46"/>
  <c r="B4" i="46"/>
  <c r="B5" i="46"/>
  <c r="B6" i="46"/>
  <c r="B7" i="46"/>
  <c r="B8" i="46"/>
  <c r="B9" i="46"/>
  <c r="B10" i="46"/>
  <c r="B11" i="46"/>
  <c r="B12" i="46"/>
  <c r="B13" i="46"/>
  <c r="B14" i="46"/>
  <c r="B15" i="46"/>
  <c r="B16" i="46"/>
  <c r="B17" i="46"/>
  <c r="B18" i="46"/>
  <c r="B19" i="46"/>
  <c r="B20" i="46"/>
  <c r="B21" i="46"/>
  <c r="B22" i="46"/>
  <c r="B23" i="46"/>
  <c r="B24" i="46"/>
  <c r="B25" i="46"/>
  <c r="B26" i="46"/>
  <c r="B27" i="46"/>
  <c r="B28" i="46"/>
  <c r="B29" i="46"/>
  <c r="B30" i="46"/>
  <c r="B31" i="46"/>
  <c r="B32" i="46"/>
  <c r="B33" i="46"/>
  <c r="B34" i="46"/>
  <c r="B35" i="46"/>
  <c r="B36" i="46"/>
  <c r="B37" i="46"/>
  <c r="B38" i="46"/>
  <c r="B39" i="46"/>
  <c r="B40" i="46"/>
  <c r="B41" i="46"/>
  <c r="B42" i="46"/>
  <c r="B43" i="46"/>
  <c r="B2" i="46"/>
  <c r="B2" i="42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2" i="4"/>
  <c r="H170" i="57" l="1"/>
  <c r="H171" i="57"/>
  <c r="H172" i="57"/>
  <c r="H173" i="57"/>
  <c r="A170" i="57" l="1"/>
  <c r="C170" i="57"/>
  <c r="E170" i="57"/>
  <c r="F170" i="57"/>
  <c r="G170" i="57"/>
  <c r="I170" i="57"/>
  <c r="J170" i="57"/>
  <c r="A171" i="57"/>
  <c r="C171" i="57"/>
  <c r="E171" i="57"/>
  <c r="F171" i="57"/>
  <c r="G171" i="57"/>
  <c r="I171" i="57"/>
  <c r="J171" i="57"/>
  <c r="A172" i="57"/>
  <c r="C172" i="57"/>
  <c r="E172" i="57"/>
  <c r="F172" i="57"/>
  <c r="G172" i="57"/>
  <c r="I172" i="57"/>
  <c r="J172" i="57"/>
  <c r="A173" i="57"/>
  <c r="C173" i="57"/>
  <c r="E173" i="57"/>
  <c r="F173" i="57"/>
  <c r="G173" i="57"/>
  <c r="I173" i="57"/>
  <c r="J173" i="57"/>
  <c r="AD3" i="50" l="1"/>
  <c r="AD4" i="50"/>
  <c r="AD5" i="50"/>
  <c r="AD6" i="50"/>
  <c r="AD7" i="50"/>
  <c r="AD8" i="50"/>
  <c r="AD9" i="50"/>
  <c r="AD10" i="50"/>
  <c r="AD11" i="50"/>
  <c r="AD12" i="50"/>
  <c r="AD13" i="50"/>
  <c r="AD14" i="50"/>
  <c r="AD15" i="50"/>
  <c r="AD16" i="50"/>
  <c r="AD17" i="50"/>
  <c r="AD18" i="50"/>
  <c r="AD19" i="50"/>
  <c r="AD20" i="50"/>
  <c r="AD21" i="50"/>
  <c r="AD22" i="50"/>
  <c r="AD23" i="50"/>
  <c r="AD24" i="50"/>
  <c r="AD25" i="50"/>
  <c r="AD26" i="50"/>
  <c r="AD27" i="50"/>
  <c r="AD28" i="50"/>
  <c r="AD29" i="50"/>
  <c r="AD30" i="50"/>
  <c r="AD31" i="50"/>
  <c r="AD32" i="50"/>
  <c r="AD33" i="50"/>
  <c r="AD34" i="50"/>
  <c r="AD35" i="50"/>
  <c r="AD36" i="50"/>
  <c r="AD37" i="50"/>
  <c r="AD38" i="50"/>
  <c r="AD39" i="50"/>
  <c r="AD40" i="50"/>
  <c r="AD41" i="50"/>
  <c r="AD42" i="50"/>
  <c r="AD43" i="50"/>
  <c r="AD44" i="50"/>
  <c r="AD45" i="50"/>
  <c r="AD46" i="50"/>
  <c r="AD47" i="50"/>
  <c r="AD48" i="50"/>
  <c r="AD2" i="50"/>
  <c r="F21" i="52"/>
  <c r="B3" i="51" l="1"/>
  <c r="F22" i="52"/>
  <c r="F12" i="52"/>
  <c r="D4" i="52"/>
  <c r="F4" i="52" s="1"/>
  <c r="D2" i="52"/>
  <c r="D7" i="52" s="1"/>
  <c r="F8" i="52" s="1"/>
  <c r="B2" i="51"/>
  <c r="F3" i="52" l="1"/>
  <c r="F13" i="52" l="1"/>
  <c r="F14" i="52"/>
  <c r="F15" i="52"/>
  <c r="H15" i="52" s="1"/>
  <c r="J44" i="50" l="1"/>
  <c r="K44" i="50"/>
  <c r="C44" i="50"/>
  <c r="N44" i="50"/>
  <c r="O44" i="50"/>
  <c r="J40" i="50"/>
  <c r="K40" i="50"/>
  <c r="C40" i="50"/>
  <c r="N40" i="50"/>
  <c r="O40" i="50"/>
  <c r="J27" i="50"/>
  <c r="K27" i="50"/>
  <c r="C27" i="50"/>
  <c r="N27" i="50"/>
  <c r="O27" i="50"/>
  <c r="J2" i="50"/>
  <c r="K2" i="50"/>
  <c r="C2" i="50"/>
  <c r="N2" i="50"/>
  <c r="O2" i="50"/>
  <c r="J4" i="50"/>
  <c r="K4" i="50"/>
  <c r="C4" i="50"/>
  <c r="N4" i="50"/>
  <c r="O4" i="50"/>
  <c r="J8" i="50"/>
  <c r="K8" i="50"/>
  <c r="C8" i="50"/>
  <c r="N8" i="50"/>
  <c r="O8" i="50"/>
  <c r="J11" i="50"/>
  <c r="K11" i="50"/>
  <c r="C11" i="50"/>
  <c r="N11" i="50"/>
  <c r="O11" i="50"/>
  <c r="J16" i="50"/>
  <c r="K16" i="50"/>
  <c r="C16" i="50"/>
  <c r="N16" i="50"/>
  <c r="O16" i="50"/>
  <c r="J18" i="50"/>
  <c r="K18" i="50"/>
  <c r="C18" i="50"/>
  <c r="N18" i="50"/>
  <c r="O18" i="50"/>
  <c r="J23" i="50"/>
  <c r="K23" i="50"/>
  <c r="C23" i="50"/>
  <c r="N23" i="50"/>
  <c r="O23" i="50"/>
  <c r="J17" i="50"/>
  <c r="K17" i="50"/>
  <c r="C17" i="50"/>
  <c r="N17" i="50"/>
  <c r="O17" i="50"/>
  <c r="J35" i="50"/>
  <c r="K35" i="50"/>
  <c r="C35" i="50"/>
  <c r="N35" i="50"/>
  <c r="O35" i="50"/>
  <c r="J36" i="50"/>
  <c r="K36" i="50"/>
  <c r="C36" i="50"/>
  <c r="N36" i="50"/>
  <c r="O36" i="50"/>
  <c r="J43" i="50"/>
  <c r="K43" i="50"/>
  <c r="C43" i="50"/>
  <c r="N43" i="50"/>
  <c r="O43" i="50"/>
  <c r="J25" i="50"/>
  <c r="K25" i="50"/>
  <c r="C25" i="50"/>
  <c r="N25" i="50"/>
  <c r="O25" i="50"/>
  <c r="J34" i="50"/>
  <c r="K34" i="50"/>
  <c r="C34" i="50"/>
  <c r="N34" i="50"/>
  <c r="O34" i="50"/>
  <c r="J45" i="50"/>
  <c r="K45" i="50"/>
  <c r="C45" i="50"/>
  <c r="N45" i="50"/>
  <c r="O45" i="50"/>
  <c r="J48" i="50"/>
  <c r="K48" i="50"/>
  <c r="C48" i="50"/>
  <c r="N48" i="50"/>
  <c r="O48" i="50"/>
  <c r="J6" i="50"/>
  <c r="K6" i="50"/>
  <c r="C6" i="50"/>
  <c r="N6" i="50"/>
  <c r="O6" i="50"/>
  <c r="J10" i="50"/>
  <c r="K10" i="50"/>
  <c r="C10" i="50"/>
  <c r="N10" i="50"/>
  <c r="O10" i="50"/>
  <c r="J13" i="50"/>
  <c r="K13" i="50"/>
  <c r="C13" i="50"/>
  <c r="N13" i="50"/>
  <c r="O13" i="50"/>
  <c r="J19" i="50"/>
  <c r="K19" i="50"/>
  <c r="C19" i="50"/>
  <c r="N19" i="50"/>
  <c r="O19" i="50"/>
  <c r="J22" i="50"/>
  <c r="K22" i="50"/>
  <c r="C22" i="50"/>
  <c r="N22" i="50"/>
  <c r="O22" i="50"/>
  <c r="J26" i="50"/>
  <c r="K26" i="50"/>
  <c r="C26" i="50"/>
  <c r="N26" i="50"/>
  <c r="O26" i="50"/>
  <c r="J30" i="50"/>
  <c r="K30" i="50"/>
  <c r="C30" i="50"/>
  <c r="N30" i="50"/>
  <c r="O30" i="50"/>
  <c r="J37" i="50"/>
  <c r="K37" i="50"/>
  <c r="C37" i="50"/>
  <c r="N37" i="50"/>
  <c r="O37" i="50"/>
  <c r="J24" i="50"/>
  <c r="K24" i="50"/>
  <c r="C24" i="50"/>
  <c r="N24" i="50"/>
  <c r="O24" i="50"/>
  <c r="J33" i="50"/>
  <c r="K33" i="50"/>
  <c r="C33" i="50"/>
  <c r="N33" i="50"/>
  <c r="O33" i="50"/>
  <c r="J39" i="50"/>
  <c r="K39" i="50"/>
  <c r="C39" i="50"/>
  <c r="N39" i="50"/>
  <c r="O39" i="50"/>
  <c r="J46" i="50"/>
  <c r="K46" i="50"/>
  <c r="C46" i="50"/>
  <c r="N46" i="50"/>
  <c r="O46" i="50"/>
  <c r="J3" i="50"/>
  <c r="K3" i="50"/>
  <c r="C3" i="50"/>
  <c r="N3" i="50"/>
  <c r="O3" i="50"/>
  <c r="J7" i="50"/>
  <c r="K7" i="50"/>
  <c r="C7" i="50"/>
  <c r="N7" i="50"/>
  <c r="O7" i="50"/>
  <c r="J9" i="50"/>
  <c r="K9" i="50"/>
  <c r="C9" i="50"/>
  <c r="N9" i="50"/>
  <c r="O9" i="50"/>
  <c r="J15" i="50"/>
  <c r="K15" i="50"/>
  <c r="C15" i="50"/>
  <c r="N15" i="50"/>
  <c r="O15" i="50"/>
  <c r="J20" i="50"/>
  <c r="K20" i="50"/>
  <c r="C20" i="50"/>
  <c r="N20" i="50"/>
  <c r="O20" i="50"/>
  <c r="J21" i="50"/>
  <c r="K21" i="50"/>
  <c r="C21" i="50"/>
  <c r="N21" i="50"/>
  <c r="O21" i="50"/>
  <c r="J31" i="50"/>
  <c r="K31" i="50"/>
  <c r="C31" i="50"/>
  <c r="N31" i="50"/>
  <c r="O31" i="50"/>
  <c r="J32" i="50"/>
  <c r="K32" i="50"/>
  <c r="C32" i="50"/>
  <c r="N32" i="50"/>
  <c r="O32" i="50"/>
  <c r="J38" i="50"/>
  <c r="K38" i="50"/>
  <c r="C38" i="50"/>
  <c r="N38" i="50"/>
  <c r="O38" i="50"/>
  <c r="J42" i="50"/>
  <c r="K42" i="50"/>
  <c r="C42" i="50"/>
  <c r="N42" i="50"/>
  <c r="O42" i="50"/>
  <c r="J47" i="50"/>
  <c r="K47" i="50"/>
  <c r="C47" i="50"/>
  <c r="N47" i="50"/>
  <c r="O47" i="50"/>
  <c r="J41" i="50"/>
  <c r="K41" i="50"/>
  <c r="C41" i="50"/>
  <c r="N41" i="50"/>
  <c r="O41" i="50"/>
  <c r="J28" i="50"/>
  <c r="K28" i="50"/>
  <c r="C28" i="50"/>
  <c r="N28" i="50"/>
  <c r="O28" i="50"/>
  <c r="J29" i="50"/>
  <c r="K29" i="50"/>
  <c r="C29" i="50"/>
  <c r="N29" i="50"/>
  <c r="O29" i="50"/>
  <c r="J14" i="50"/>
  <c r="K14" i="50"/>
  <c r="C14" i="50"/>
  <c r="N14" i="50"/>
  <c r="O14" i="50"/>
  <c r="J12" i="50"/>
  <c r="K12" i="50"/>
  <c r="C12" i="50"/>
  <c r="N12" i="50"/>
  <c r="O12" i="50"/>
  <c r="J5" i="50"/>
  <c r="K5" i="50"/>
  <c r="C5" i="50"/>
  <c r="N5" i="50"/>
  <c r="O5" i="50"/>
  <c r="AH25" i="50" l="1"/>
  <c r="AE25" i="50"/>
  <c r="AH21" i="50"/>
  <c r="AQ21" i="50" s="1"/>
  <c r="AE21" i="50"/>
  <c r="AH22" i="50"/>
  <c r="AQ22" i="50" s="1"/>
  <c r="AE22" i="50"/>
  <c r="AH34" i="50"/>
  <c r="AQ34" i="50" s="1"/>
  <c r="AE34" i="50"/>
  <c r="AH16" i="50"/>
  <c r="AE16" i="50"/>
  <c r="AH19" i="50"/>
  <c r="AE19" i="50"/>
  <c r="AH11" i="50"/>
  <c r="AL11" i="50" s="1"/>
  <c r="AE11" i="50"/>
  <c r="AH31" i="50"/>
  <c r="AL31" i="50" s="1"/>
  <c r="AE31" i="50"/>
  <c r="AH26" i="50"/>
  <c r="AE26" i="50"/>
  <c r="AH45" i="50"/>
  <c r="AE45" i="50"/>
  <c r="AH18" i="50"/>
  <c r="AE18" i="50"/>
  <c r="AH20" i="50"/>
  <c r="AR20" i="50" s="1"/>
  <c r="AE20" i="50"/>
  <c r="AH32" i="50"/>
  <c r="AE32" i="50"/>
  <c r="AH30" i="50"/>
  <c r="AR30" i="50" s="1"/>
  <c r="AE30" i="50"/>
  <c r="AH48" i="50"/>
  <c r="AM48" i="50" s="1"/>
  <c r="AE48" i="50"/>
  <c r="AH23" i="50"/>
  <c r="AL23" i="50" s="1"/>
  <c r="AE23" i="50"/>
  <c r="AH37" i="50"/>
  <c r="AE37" i="50"/>
  <c r="AH17" i="50"/>
  <c r="AR17" i="50" s="1"/>
  <c r="AE17" i="50"/>
  <c r="AH12" i="50"/>
  <c r="AQ12" i="50" s="1"/>
  <c r="AE12" i="50"/>
  <c r="AH7" i="50"/>
  <c r="AQ7" i="50" s="1"/>
  <c r="AE7" i="50"/>
  <c r="AH3" i="50"/>
  <c r="AE3" i="50"/>
  <c r="AH24" i="50"/>
  <c r="AR24" i="50" s="1"/>
  <c r="AE24" i="50"/>
  <c r="AH6" i="50"/>
  <c r="AR6" i="50" s="1"/>
  <c r="AE6" i="50"/>
  <c r="AH35" i="50"/>
  <c r="AL35" i="50" s="1"/>
  <c r="AE35" i="50"/>
  <c r="AH2" i="50"/>
  <c r="AE2" i="50"/>
  <c r="AH27" i="50"/>
  <c r="AL27" i="50" s="1"/>
  <c r="AE27" i="50"/>
  <c r="AH40" i="50"/>
  <c r="AL40" i="50" s="1"/>
  <c r="AE40" i="50"/>
  <c r="AH44" i="50"/>
  <c r="AL44" i="50" s="1"/>
  <c r="AE44" i="50"/>
  <c r="AH46" i="50"/>
  <c r="AE46" i="50"/>
  <c r="AH5" i="50"/>
  <c r="AR5" i="50" s="1"/>
  <c r="AE5" i="50"/>
  <c r="AH29" i="50"/>
  <c r="AQ29" i="50" s="1"/>
  <c r="AE29" i="50"/>
  <c r="AH41" i="50"/>
  <c r="AE41" i="50"/>
  <c r="AH42" i="50"/>
  <c r="AE42" i="50"/>
  <c r="AH47" i="50"/>
  <c r="AL47" i="50" s="1"/>
  <c r="AE47" i="50"/>
  <c r="AH9" i="50"/>
  <c r="AL9" i="50" s="1"/>
  <c r="AE9" i="50"/>
  <c r="AH33" i="50"/>
  <c r="AQ33" i="50" s="1"/>
  <c r="AE33" i="50"/>
  <c r="AH10" i="50"/>
  <c r="AE10" i="50"/>
  <c r="AH36" i="50"/>
  <c r="AM36" i="50" s="1"/>
  <c r="AE36" i="50"/>
  <c r="AH4" i="50"/>
  <c r="AR4" i="50" s="1"/>
  <c r="AE4" i="50"/>
  <c r="AH38" i="50"/>
  <c r="AE38" i="50"/>
  <c r="AH14" i="50"/>
  <c r="AE14" i="50"/>
  <c r="AH28" i="50"/>
  <c r="AL28" i="50" s="1"/>
  <c r="AE28" i="50"/>
  <c r="AH15" i="50"/>
  <c r="AM15" i="50" s="1"/>
  <c r="AE15" i="50"/>
  <c r="AH39" i="50"/>
  <c r="AL39" i="50" s="1"/>
  <c r="AE39" i="50"/>
  <c r="AH13" i="50"/>
  <c r="AE13" i="50"/>
  <c r="AH43" i="50"/>
  <c r="AL43" i="50" s="1"/>
  <c r="AE43" i="50"/>
  <c r="AH8" i="50"/>
  <c r="AM8" i="50" s="1"/>
  <c r="AE8" i="50"/>
  <c r="AL19" i="50"/>
  <c r="AM19" i="50"/>
  <c r="AM21" i="50"/>
  <c r="AR16" i="50"/>
  <c r="AM16" i="50"/>
  <c r="AL16" i="50"/>
  <c r="AQ16" i="50"/>
  <c r="AQ25" i="50"/>
  <c r="AL25" i="50"/>
  <c r="AM25" i="50"/>
  <c r="AR25" i="50"/>
  <c r="AQ26" i="50"/>
  <c r="AR26" i="50"/>
  <c r="AL26" i="50"/>
  <c r="AM26" i="50"/>
  <c r="AQ45" i="50"/>
  <c r="AL45" i="50"/>
  <c r="AM45" i="50"/>
  <c r="AR32" i="50"/>
  <c r="AM32" i="50"/>
  <c r="AL32" i="50"/>
  <c r="AQ32" i="50"/>
  <c r="AQ30" i="50"/>
  <c r="AM30" i="50"/>
  <c r="AR48" i="50"/>
  <c r="AQ37" i="50"/>
  <c r="AR37" i="50"/>
  <c r="AL37" i="50"/>
  <c r="AM37" i="50"/>
  <c r="AQ17" i="50"/>
  <c r="AL17" i="50"/>
  <c r="AM17" i="50"/>
  <c r="AQ42" i="50"/>
  <c r="AR42" i="50"/>
  <c r="AL42" i="50"/>
  <c r="AM42" i="50"/>
  <c r="AL3" i="50"/>
  <c r="AM3" i="50"/>
  <c r="AQ3" i="50"/>
  <c r="AR3" i="50"/>
  <c r="AM24" i="50"/>
  <c r="AL24" i="50"/>
  <c r="AQ24" i="50"/>
  <c r="AR2" i="50"/>
  <c r="AM2" i="50"/>
  <c r="AQ2" i="50"/>
  <c r="AL2" i="50"/>
  <c r="AQ27" i="50"/>
  <c r="AR27" i="50"/>
  <c r="AR46" i="50"/>
  <c r="AL46" i="50"/>
  <c r="AM46" i="50"/>
  <c r="AQ46" i="50"/>
  <c r="AQ14" i="50"/>
  <c r="AR14" i="50"/>
  <c r="AL14" i="50"/>
  <c r="AM14" i="50"/>
  <c r="AQ10" i="50"/>
  <c r="AR10" i="50"/>
  <c r="AL10" i="50"/>
  <c r="AM10" i="50"/>
  <c r="AR36" i="50"/>
  <c r="AR12" i="50"/>
  <c r="AQ13" i="50"/>
  <c r="AL13" i="50"/>
  <c r="AR13" i="50"/>
  <c r="AM13" i="50"/>
  <c r="V19" i="46"/>
  <c r="E19" i="46" s="1"/>
  <c r="U19" i="46"/>
  <c r="F19" i="46" s="1"/>
  <c r="T19" i="46"/>
  <c r="J19" i="46"/>
  <c r="E23" i="50"/>
  <c r="V16" i="46"/>
  <c r="E16" i="46" s="1"/>
  <c r="U16" i="46"/>
  <c r="F16" i="46" s="1"/>
  <c r="T16" i="46"/>
  <c r="D16" i="46" s="1"/>
  <c r="J16" i="46"/>
  <c r="X16" i="46" s="1"/>
  <c r="V13" i="46"/>
  <c r="E13" i="46" s="1"/>
  <c r="U13" i="46"/>
  <c r="F13" i="46" s="1"/>
  <c r="T13" i="46"/>
  <c r="D13" i="46" s="1"/>
  <c r="J13" i="46"/>
  <c r="X13" i="46" s="1"/>
  <c r="V10" i="46"/>
  <c r="E10" i="46" s="1"/>
  <c r="U10" i="46"/>
  <c r="F10" i="46" s="1"/>
  <c r="T10" i="46"/>
  <c r="D10" i="46" s="1"/>
  <c r="J10" i="46"/>
  <c r="X10" i="46" s="1"/>
  <c r="V7" i="46"/>
  <c r="E7" i="46" s="1"/>
  <c r="U7" i="46"/>
  <c r="F7" i="46" s="1"/>
  <c r="T7" i="46"/>
  <c r="D7" i="46" s="1"/>
  <c r="J7" i="46"/>
  <c r="X7" i="46" s="1"/>
  <c r="V4" i="46"/>
  <c r="E4" i="46" s="1"/>
  <c r="U4" i="46"/>
  <c r="F4" i="46" s="1"/>
  <c r="T4" i="46"/>
  <c r="D4" i="46" s="1"/>
  <c r="J4" i="46"/>
  <c r="X4" i="46" s="1"/>
  <c r="AQ40" i="50" l="1"/>
  <c r="AR11" i="50"/>
  <c r="AM29" i="50"/>
  <c r="AR29" i="50"/>
  <c r="AQ5" i="50"/>
  <c r="AQ11" i="50"/>
  <c r="AL30" i="50"/>
  <c r="AM11" i="50"/>
  <c r="AQ6" i="50"/>
  <c r="AL22" i="50"/>
  <c r="AQ9" i="50"/>
  <c r="AR47" i="50"/>
  <c r="AQ36" i="50"/>
  <c r="AR8" i="50"/>
  <c r="AQ47" i="50"/>
  <c r="AM28" i="50"/>
  <c r="AR28" i="50"/>
  <c r="H23" i="50"/>
  <c r="G23" i="50"/>
  <c r="AM43" i="50"/>
  <c r="AQ4" i="50"/>
  <c r="AM9" i="50"/>
  <c r="AR40" i="50"/>
  <c r="AR22" i="50"/>
  <c r="AL4" i="50"/>
  <c r="AR43" i="50"/>
  <c r="AQ28" i="50"/>
  <c r="AM5" i="50"/>
  <c r="AR21" i="50"/>
  <c r="AQ43" i="50"/>
  <c r="AL29" i="50"/>
  <c r="X19" i="46"/>
  <c r="R23" i="50" s="1"/>
  <c r="L23" i="50"/>
  <c r="AN23" i="50" s="1"/>
  <c r="AR15" i="50"/>
  <c r="AM4" i="50"/>
  <c r="AQ20" i="50"/>
  <c r="AM18" i="50"/>
  <c r="AQ8" i="50"/>
  <c r="AL12" i="50"/>
  <c r="AM6" i="50"/>
  <c r="AL20" i="50"/>
  <c r="AR18" i="50"/>
  <c r="AL8" i="50"/>
  <c r="AQ15" i="50"/>
  <c r="AL36" i="50"/>
  <c r="AM47" i="50"/>
  <c r="AM27" i="50"/>
  <c r="AL6" i="50"/>
  <c r="AR45" i="50"/>
  <c r="AL21" i="50"/>
  <c r="AL15" i="50"/>
  <c r="AM12" i="50"/>
  <c r="AR9" i="50"/>
  <c r="AM40" i="50"/>
  <c r="AM22" i="50"/>
  <c r="AQ19" i="50"/>
  <c r="AM41" i="50"/>
  <c r="AR35" i="50"/>
  <c r="AM7" i="50"/>
  <c r="AL41" i="50"/>
  <c r="AM44" i="50"/>
  <c r="AL7" i="50"/>
  <c r="AR38" i="50"/>
  <c r="AQ38" i="50"/>
  <c r="AL5" i="50"/>
  <c r="AQ31" i="50"/>
  <c r="AR39" i="50"/>
  <c r="AR33" i="50"/>
  <c r="AR44" i="50"/>
  <c r="AQ35" i="50"/>
  <c r="AQ41" i="50"/>
  <c r="AR23" i="50"/>
  <c r="AM31" i="50"/>
  <c r="AM34" i="50"/>
  <c r="AQ39" i="50"/>
  <c r="AM33" i="50"/>
  <c r="AR41" i="50"/>
  <c r="AM20" i="50"/>
  <c r="AQ23" i="50"/>
  <c r="AL34" i="50"/>
  <c r="AM39" i="50"/>
  <c r="AL33" i="50"/>
  <c r="AM35" i="50"/>
  <c r="AR34" i="50"/>
  <c r="AM23" i="50"/>
  <c r="AR7" i="50"/>
  <c r="AQ44" i="50"/>
  <c r="AM38" i="50"/>
  <c r="AR31" i="50"/>
  <c r="AL38" i="50"/>
  <c r="AR19" i="50"/>
  <c r="AQ48" i="50"/>
  <c r="AL18" i="50"/>
  <c r="AL48" i="50"/>
  <c r="AQ18" i="50"/>
  <c r="D19" i="46"/>
  <c r="P23" i="50"/>
  <c r="AS23" i="50" s="1"/>
  <c r="J3" i="4"/>
  <c r="X3" i="4" s="1"/>
  <c r="J4" i="4"/>
  <c r="X4" i="4" s="1"/>
  <c r="J5" i="4"/>
  <c r="X5" i="4" s="1"/>
  <c r="J6" i="4"/>
  <c r="X6" i="4" s="1"/>
  <c r="J7" i="4"/>
  <c r="X7" i="4" s="1"/>
  <c r="J8" i="4"/>
  <c r="J9" i="4"/>
  <c r="X9" i="4" s="1"/>
  <c r="J10" i="4"/>
  <c r="X10" i="4" s="1"/>
  <c r="J11" i="4"/>
  <c r="L9" i="50" s="1"/>
  <c r="AN9" i="50" s="1"/>
  <c r="J12" i="4"/>
  <c r="X12" i="4" s="1"/>
  <c r="J13" i="4"/>
  <c r="X13" i="4" s="1"/>
  <c r="J14" i="4"/>
  <c r="X14" i="4" s="1"/>
  <c r="J15" i="4"/>
  <c r="J16" i="4"/>
  <c r="X16" i="4" s="1"/>
  <c r="J17" i="4"/>
  <c r="X17" i="4" s="1"/>
  <c r="J18" i="4"/>
  <c r="J19" i="4"/>
  <c r="X19" i="4" s="1"/>
  <c r="J20" i="4"/>
  <c r="X20" i="4" s="1"/>
  <c r="J21" i="4"/>
  <c r="X21" i="4" s="1"/>
  <c r="J22" i="4"/>
  <c r="X22" i="4" s="1"/>
  <c r="J23" i="4"/>
  <c r="X23" i="4" s="1"/>
  <c r="J24" i="4"/>
  <c r="J25" i="4"/>
  <c r="X25" i="4" s="1"/>
  <c r="J26" i="4"/>
  <c r="X26" i="4" s="1"/>
  <c r="J27" i="4"/>
  <c r="X27" i="4" s="1"/>
  <c r="J28" i="4"/>
  <c r="X28" i="4" s="1"/>
  <c r="J29" i="4"/>
  <c r="J30" i="4"/>
  <c r="X30" i="4" s="1"/>
  <c r="J31" i="4"/>
  <c r="X31" i="4" s="1"/>
  <c r="J32" i="4"/>
  <c r="X32" i="4" s="1"/>
  <c r="J33" i="4"/>
  <c r="X33" i="4" s="1"/>
  <c r="J34" i="4"/>
  <c r="J35" i="4"/>
  <c r="J36" i="4"/>
  <c r="J37" i="4"/>
  <c r="L38" i="50" s="1"/>
  <c r="AN38" i="50" s="1"/>
  <c r="J38" i="4"/>
  <c r="X38" i="4" s="1"/>
  <c r="J39" i="4"/>
  <c r="X39" i="4" s="1"/>
  <c r="J40" i="4"/>
  <c r="X40" i="4" s="1"/>
  <c r="J41" i="4"/>
  <c r="J42" i="4"/>
  <c r="L47" i="50" s="1"/>
  <c r="AN47" i="50" s="1"/>
  <c r="J43" i="4"/>
  <c r="X43" i="4" s="1"/>
  <c r="V43" i="4"/>
  <c r="E43" i="4" s="1"/>
  <c r="U43" i="4"/>
  <c r="F43" i="4" s="1"/>
  <c r="T43" i="4"/>
  <c r="D43" i="4" s="1"/>
  <c r="V42" i="4"/>
  <c r="E42" i="4" s="1"/>
  <c r="U42" i="4"/>
  <c r="F42" i="4" s="1"/>
  <c r="T42" i="4"/>
  <c r="V41" i="4"/>
  <c r="E41" i="4" s="1"/>
  <c r="U41" i="4"/>
  <c r="F41" i="4" s="1"/>
  <c r="T41" i="4"/>
  <c r="V40" i="4"/>
  <c r="E40" i="4" s="1"/>
  <c r="U40" i="4"/>
  <c r="F40" i="4" s="1"/>
  <c r="T40" i="4"/>
  <c r="D40" i="4" s="1"/>
  <c r="V39" i="4"/>
  <c r="E39" i="4" s="1"/>
  <c r="U39" i="4"/>
  <c r="F39" i="4" s="1"/>
  <c r="T39" i="4"/>
  <c r="D39" i="4" s="1"/>
  <c r="V38" i="4"/>
  <c r="E38" i="4" s="1"/>
  <c r="U38" i="4"/>
  <c r="F38" i="4" s="1"/>
  <c r="T38" i="4"/>
  <c r="D38" i="4" s="1"/>
  <c r="V37" i="4"/>
  <c r="E37" i="4" s="1"/>
  <c r="U37" i="4"/>
  <c r="F37" i="4" s="1"/>
  <c r="T37" i="4"/>
  <c r="V36" i="4"/>
  <c r="E36" i="4" s="1"/>
  <c r="U36" i="4"/>
  <c r="F36" i="4" s="1"/>
  <c r="T36" i="4"/>
  <c r="V35" i="4"/>
  <c r="E35" i="4" s="1"/>
  <c r="U35" i="4"/>
  <c r="F35" i="4" s="1"/>
  <c r="T35" i="4"/>
  <c r="D35" i="4" s="1"/>
  <c r="V34" i="4"/>
  <c r="E34" i="4" s="1"/>
  <c r="U34" i="4"/>
  <c r="F34" i="4" s="1"/>
  <c r="T34" i="4"/>
  <c r="D34" i="4" s="1"/>
  <c r="V33" i="4"/>
  <c r="E33" i="4" s="1"/>
  <c r="U33" i="4"/>
  <c r="F33" i="4" s="1"/>
  <c r="T33" i="4"/>
  <c r="D33" i="4" s="1"/>
  <c r="V32" i="4"/>
  <c r="E32" i="4" s="1"/>
  <c r="U32" i="4"/>
  <c r="F32" i="4" s="1"/>
  <c r="T32" i="4"/>
  <c r="D32" i="4" s="1"/>
  <c r="V31" i="4"/>
  <c r="E31" i="4" s="1"/>
  <c r="U31" i="4"/>
  <c r="F31" i="4" s="1"/>
  <c r="T31" i="4"/>
  <c r="D31" i="4" s="1"/>
  <c r="V30" i="4"/>
  <c r="E30" i="4" s="1"/>
  <c r="U30" i="4"/>
  <c r="F30" i="4" s="1"/>
  <c r="T30" i="4"/>
  <c r="D30" i="4" s="1"/>
  <c r="V29" i="4"/>
  <c r="E29" i="4" s="1"/>
  <c r="U29" i="4"/>
  <c r="F29" i="4" s="1"/>
  <c r="T29" i="4"/>
  <c r="V28" i="4"/>
  <c r="E28" i="4" s="1"/>
  <c r="U28" i="4"/>
  <c r="F28" i="4" s="1"/>
  <c r="T28" i="4"/>
  <c r="D28" i="4" s="1"/>
  <c r="V27" i="4"/>
  <c r="E27" i="4" s="1"/>
  <c r="U27" i="4"/>
  <c r="F27" i="4" s="1"/>
  <c r="T27" i="4"/>
  <c r="D27" i="4" s="1"/>
  <c r="V26" i="4"/>
  <c r="E26" i="4" s="1"/>
  <c r="U26" i="4"/>
  <c r="F26" i="4" s="1"/>
  <c r="T26" i="4"/>
  <c r="D26" i="4" s="1"/>
  <c r="V25" i="4"/>
  <c r="E25" i="4" s="1"/>
  <c r="U25" i="4"/>
  <c r="F25" i="4" s="1"/>
  <c r="T25" i="4"/>
  <c r="D25" i="4" s="1"/>
  <c r="V24" i="4"/>
  <c r="E24" i="4" s="1"/>
  <c r="U24" i="4"/>
  <c r="F24" i="4" s="1"/>
  <c r="T24" i="4"/>
  <c r="V23" i="4"/>
  <c r="E23" i="4" s="1"/>
  <c r="U23" i="4"/>
  <c r="F23" i="4" s="1"/>
  <c r="T23" i="4"/>
  <c r="D23" i="4" s="1"/>
  <c r="V22" i="4"/>
  <c r="E22" i="4" s="1"/>
  <c r="U22" i="4"/>
  <c r="F22" i="4" s="1"/>
  <c r="T22" i="4"/>
  <c r="D22" i="4" s="1"/>
  <c r="V21" i="4"/>
  <c r="E21" i="4" s="1"/>
  <c r="U21" i="4"/>
  <c r="F21" i="4" s="1"/>
  <c r="T21" i="4"/>
  <c r="D21" i="4" s="1"/>
  <c r="V20" i="4"/>
  <c r="E20" i="4" s="1"/>
  <c r="U20" i="4"/>
  <c r="F20" i="4" s="1"/>
  <c r="T20" i="4"/>
  <c r="D20" i="4" s="1"/>
  <c r="V19" i="4"/>
  <c r="E19" i="4" s="1"/>
  <c r="U19" i="4"/>
  <c r="F19" i="4" s="1"/>
  <c r="T19" i="4"/>
  <c r="D19" i="4" s="1"/>
  <c r="V18" i="4"/>
  <c r="E18" i="4" s="1"/>
  <c r="U18" i="4"/>
  <c r="F18" i="4" s="1"/>
  <c r="T18" i="4"/>
  <c r="V17" i="4"/>
  <c r="E17" i="4" s="1"/>
  <c r="U17" i="4"/>
  <c r="F17" i="4" s="1"/>
  <c r="T17" i="4"/>
  <c r="D17" i="4" s="1"/>
  <c r="V16" i="4"/>
  <c r="E16" i="4" s="1"/>
  <c r="U16" i="4"/>
  <c r="F16" i="4" s="1"/>
  <c r="T16" i="4"/>
  <c r="D16" i="4" s="1"/>
  <c r="V15" i="4"/>
  <c r="E15" i="4" s="1"/>
  <c r="U15" i="4"/>
  <c r="F15" i="4" s="1"/>
  <c r="T15" i="4"/>
  <c r="V14" i="4"/>
  <c r="E14" i="4" s="1"/>
  <c r="U14" i="4"/>
  <c r="F14" i="4" s="1"/>
  <c r="T14" i="4"/>
  <c r="D14" i="4" s="1"/>
  <c r="V13" i="4"/>
  <c r="E13" i="4" s="1"/>
  <c r="U13" i="4"/>
  <c r="F13" i="4" s="1"/>
  <c r="T13" i="4"/>
  <c r="D13" i="4" s="1"/>
  <c r="V12" i="4"/>
  <c r="E12" i="4" s="1"/>
  <c r="U12" i="4"/>
  <c r="F12" i="4" s="1"/>
  <c r="T12" i="4"/>
  <c r="D12" i="4" s="1"/>
  <c r="V11" i="4"/>
  <c r="E11" i="4" s="1"/>
  <c r="U11" i="4"/>
  <c r="F11" i="4" s="1"/>
  <c r="T11" i="4"/>
  <c r="V10" i="4"/>
  <c r="E10" i="4" s="1"/>
  <c r="U10" i="4"/>
  <c r="F10" i="4" s="1"/>
  <c r="T10" i="4"/>
  <c r="D10" i="4" s="1"/>
  <c r="V9" i="4"/>
  <c r="E9" i="4" s="1"/>
  <c r="U9" i="4"/>
  <c r="F9" i="4" s="1"/>
  <c r="T9" i="4"/>
  <c r="D9" i="4" s="1"/>
  <c r="V8" i="4"/>
  <c r="E8" i="4" s="1"/>
  <c r="U8" i="4"/>
  <c r="F8" i="4" s="1"/>
  <c r="T8" i="4"/>
  <c r="V7" i="4"/>
  <c r="E7" i="4" s="1"/>
  <c r="U7" i="4"/>
  <c r="F7" i="4" s="1"/>
  <c r="T7" i="4"/>
  <c r="D7" i="4" s="1"/>
  <c r="V6" i="4"/>
  <c r="E6" i="4" s="1"/>
  <c r="U6" i="4"/>
  <c r="F6" i="4" s="1"/>
  <c r="T6" i="4"/>
  <c r="D6" i="4" s="1"/>
  <c r="V5" i="4"/>
  <c r="E5" i="4" s="1"/>
  <c r="U5" i="4"/>
  <c r="F5" i="4" s="1"/>
  <c r="T5" i="4"/>
  <c r="D5" i="4" s="1"/>
  <c r="V4" i="4"/>
  <c r="E4" i="4" s="1"/>
  <c r="U4" i="4"/>
  <c r="F4" i="4" s="1"/>
  <c r="T4" i="4"/>
  <c r="D4" i="4" s="1"/>
  <c r="V3" i="4"/>
  <c r="E3" i="4" s="1"/>
  <c r="U3" i="4"/>
  <c r="F3" i="4" s="1"/>
  <c r="T3" i="4"/>
  <c r="D3" i="4" s="1"/>
  <c r="V2" i="4"/>
  <c r="E2" i="4" s="1"/>
  <c r="U2" i="4"/>
  <c r="F2" i="4" s="1"/>
  <c r="T2" i="4"/>
  <c r="D2" i="4" s="1"/>
  <c r="E47" i="50"/>
  <c r="E42" i="50"/>
  <c r="E38" i="50"/>
  <c r="E32" i="50"/>
  <c r="E31" i="50"/>
  <c r="E21" i="50"/>
  <c r="E20" i="50"/>
  <c r="E15" i="50"/>
  <c r="E9" i="50"/>
  <c r="E7" i="50"/>
  <c r="J35" i="42"/>
  <c r="X35" i="42" s="1"/>
  <c r="T35" i="42"/>
  <c r="D35" i="42" s="1"/>
  <c r="U35" i="42"/>
  <c r="F35" i="42" s="1"/>
  <c r="V35" i="42"/>
  <c r="E35" i="42" s="1"/>
  <c r="J23" i="42"/>
  <c r="X23" i="42" s="1"/>
  <c r="T23" i="42"/>
  <c r="D23" i="42" s="1"/>
  <c r="U23" i="42"/>
  <c r="F23" i="42" s="1"/>
  <c r="V23" i="42"/>
  <c r="E23" i="42" s="1"/>
  <c r="E33" i="50"/>
  <c r="E39" i="50"/>
  <c r="E46" i="50"/>
  <c r="E24" i="50"/>
  <c r="E37" i="50"/>
  <c r="E30" i="50"/>
  <c r="E26" i="50"/>
  <c r="E22" i="50"/>
  <c r="E19" i="50"/>
  <c r="E13" i="50"/>
  <c r="E10" i="50"/>
  <c r="E6" i="50"/>
  <c r="E3" i="50"/>
  <c r="J8" i="42"/>
  <c r="J5" i="42"/>
  <c r="J2" i="42"/>
  <c r="X2" i="42" s="1"/>
  <c r="V43" i="42"/>
  <c r="E43" i="42" s="1"/>
  <c r="U43" i="42"/>
  <c r="F43" i="42" s="1"/>
  <c r="T43" i="42"/>
  <c r="D43" i="42" s="1"/>
  <c r="V42" i="42"/>
  <c r="E42" i="42" s="1"/>
  <c r="U42" i="42"/>
  <c r="F42" i="42" s="1"/>
  <c r="T42" i="42"/>
  <c r="V41" i="42"/>
  <c r="E41" i="42" s="1"/>
  <c r="U41" i="42"/>
  <c r="F41" i="42" s="1"/>
  <c r="T41" i="42"/>
  <c r="D41" i="42" s="1"/>
  <c r="V40" i="42"/>
  <c r="E40" i="42" s="1"/>
  <c r="U40" i="42"/>
  <c r="F40" i="42" s="1"/>
  <c r="T40" i="42"/>
  <c r="D40" i="42" s="1"/>
  <c r="V39" i="42"/>
  <c r="E39" i="42" s="1"/>
  <c r="U39" i="42"/>
  <c r="F39" i="42" s="1"/>
  <c r="T39" i="42"/>
  <c r="D39" i="42" s="1"/>
  <c r="V38" i="42"/>
  <c r="E38" i="42" s="1"/>
  <c r="U38" i="42"/>
  <c r="F38" i="42" s="1"/>
  <c r="T38" i="42"/>
  <c r="D38" i="42" s="1"/>
  <c r="V37" i="42"/>
  <c r="E37" i="42" s="1"/>
  <c r="U37" i="42"/>
  <c r="F37" i="42" s="1"/>
  <c r="T37" i="42"/>
  <c r="V36" i="42"/>
  <c r="E36" i="42" s="1"/>
  <c r="U36" i="42"/>
  <c r="F36" i="42" s="1"/>
  <c r="T36" i="42"/>
  <c r="V34" i="42"/>
  <c r="E34" i="42" s="1"/>
  <c r="U34" i="42"/>
  <c r="F34" i="42" s="1"/>
  <c r="T34" i="42"/>
  <c r="D34" i="42" s="1"/>
  <c r="V33" i="42"/>
  <c r="E33" i="42" s="1"/>
  <c r="U33" i="42"/>
  <c r="F33" i="42" s="1"/>
  <c r="T33" i="42"/>
  <c r="D33" i="42" s="1"/>
  <c r="V32" i="42"/>
  <c r="E32" i="42" s="1"/>
  <c r="U32" i="42"/>
  <c r="F32" i="42" s="1"/>
  <c r="T32" i="42"/>
  <c r="V31" i="42"/>
  <c r="E31" i="42" s="1"/>
  <c r="U31" i="42"/>
  <c r="F31" i="42" s="1"/>
  <c r="T31" i="42"/>
  <c r="D31" i="42" s="1"/>
  <c r="V30" i="42"/>
  <c r="E30" i="42" s="1"/>
  <c r="U30" i="42"/>
  <c r="F30" i="42" s="1"/>
  <c r="T30" i="42"/>
  <c r="V29" i="42"/>
  <c r="E29" i="42" s="1"/>
  <c r="U29" i="42"/>
  <c r="F29" i="42" s="1"/>
  <c r="T29" i="42"/>
  <c r="V28" i="42"/>
  <c r="E28" i="42" s="1"/>
  <c r="U28" i="42"/>
  <c r="F28" i="42" s="1"/>
  <c r="T28" i="42"/>
  <c r="D28" i="42" s="1"/>
  <c r="V27" i="42"/>
  <c r="E27" i="42" s="1"/>
  <c r="U27" i="42"/>
  <c r="F27" i="42" s="1"/>
  <c r="T27" i="42"/>
  <c r="D27" i="42" s="1"/>
  <c r="V26" i="42"/>
  <c r="E26" i="42" s="1"/>
  <c r="U26" i="42"/>
  <c r="F26" i="42" s="1"/>
  <c r="T26" i="42"/>
  <c r="D26" i="42" s="1"/>
  <c r="V25" i="42"/>
  <c r="E25" i="42" s="1"/>
  <c r="U25" i="42"/>
  <c r="F25" i="42" s="1"/>
  <c r="T25" i="42"/>
  <c r="V24" i="42"/>
  <c r="E24" i="42" s="1"/>
  <c r="U24" i="42"/>
  <c r="F24" i="42" s="1"/>
  <c r="T24" i="42"/>
  <c r="V22" i="42"/>
  <c r="E22" i="42" s="1"/>
  <c r="U22" i="42"/>
  <c r="F22" i="42" s="1"/>
  <c r="T22" i="42"/>
  <c r="D22" i="42" s="1"/>
  <c r="V21" i="42"/>
  <c r="E21" i="42" s="1"/>
  <c r="U21" i="42"/>
  <c r="F21" i="42" s="1"/>
  <c r="T21" i="42"/>
  <c r="D21" i="42" s="1"/>
  <c r="V20" i="42"/>
  <c r="E20" i="42" s="1"/>
  <c r="U20" i="42"/>
  <c r="F20" i="42" s="1"/>
  <c r="T20" i="42"/>
  <c r="D20" i="42" s="1"/>
  <c r="V19" i="42"/>
  <c r="E19" i="42" s="1"/>
  <c r="U19" i="42"/>
  <c r="F19" i="42" s="1"/>
  <c r="T19" i="42"/>
  <c r="D19" i="42" s="1"/>
  <c r="V18" i="42"/>
  <c r="E18" i="42" s="1"/>
  <c r="U18" i="42"/>
  <c r="F18" i="42" s="1"/>
  <c r="T18" i="42"/>
  <c r="V17" i="42"/>
  <c r="E17" i="42" s="1"/>
  <c r="U17" i="42"/>
  <c r="F17" i="42" s="1"/>
  <c r="T17" i="42"/>
  <c r="D17" i="42" s="1"/>
  <c r="V16" i="42"/>
  <c r="E16" i="42" s="1"/>
  <c r="U16" i="42"/>
  <c r="F16" i="42" s="1"/>
  <c r="T16" i="42"/>
  <c r="D16" i="42" s="1"/>
  <c r="V15" i="42"/>
  <c r="E15" i="42" s="1"/>
  <c r="U15" i="42"/>
  <c r="F15" i="42" s="1"/>
  <c r="T15" i="42"/>
  <c r="D15" i="42" s="1"/>
  <c r="V14" i="42"/>
  <c r="E14" i="42" s="1"/>
  <c r="U14" i="42"/>
  <c r="F14" i="42" s="1"/>
  <c r="T14" i="42"/>
  <c r="V13" i="42"/>
  <c r="E13" i="42" s="1"/>
  <c r="U13" i="42"/>
  <c r="F13" i="42" s="1"/>
  <c r="T13" i="42"/>
  <c r="D13" i="42" s="1"/>
  <c r="V12" i="42"/>
  <c r="E12" i="42" s="1"/>
  <c r="U12" i="42"/>
  <c r="F12" i="42" s="1"/>
  <c r="T12" i="42"/>
  <c r="D12" i="42" s="1"/>
  <c r="V11" i="42"/>
  <c r="E11" i="42" s="1"/>
  <c r="U11" i="42"/>
  <c r="F11" i="42" s="1"/>
  <c r="T11" i="42"/>
  <c r="V10" i="42"/>
  <c r="E10" i="42" s="1"/>
  <c r="U10" i="42"/>
  <c r="F10" i="42" s="1"/>
  <c r="T10" i="42"/>
  <c r="D10" i="42" s="1"/>
  <c r="V9" i="42"/>
  <c r="E9" i="42" s="1"/>
  <c r="U9" i="42"/>
  <c r="F9" i="42" s="1"/>
  <c r="T9" i="42"/>
  <c r="D9" i="42" s="1"/>
  <c r="V8" i="42"/>
  <c r="E8" i="42" s="1"/>
  <c r="U8" i="42"/>
  <c r="F8" i="42" s="1"/>
  <c r="T8" i="42"/>
  <c r="V7" i="42"/>
  <c r="E7" i="42" s="1"/>
  <c r="U7" i="42"/>
  <c r="F7" i="42" s="1"/>
  <c r="T7" i="42"/>
  <c r="D7" i="42" s="1"/>
  <c r="V6" i="42"/>
  <c r="E6" i="42" s="1"/>
  <c r="U6" i="42"/>
  <c r="F6" i="42" s="1"/>
  <c r="T6" i="42"/>
  <c r="D6" i="42" s="1"/>
  <c r="V5" i="42"/>
  <c r="E5" i="42" s="1"/>
  <c r="U5" i="42"/>
  <c r="F5" i="42" s="1"/>
  <c r="T5" i="42"/>
  <c r="V4" i="42"/>
  <c r="E4" i="42" s="1"/>
  <c r="U4" i="42"/>
  <c r="F4" i="42" s="1"/>
  <c r="T4" i="42"/>
  <c r="D4" i="42" s="1"/>
  <c r="V3" i="42"/>
  <c r="E3" i="42" s="1"/>
  <c r="U3" i="42"/>
  <c r="F3" i="42" s="1"/>
  <c r="T3" i="42"/>
  <c r="D3" i="42" s="1"/>
  <c r="V2" i="42"/>
  <c r="E2" i="42" s="1"/>
  <c r="U2" i="42"/>
  <c r="F2" i="42" s="1"/>
  <c r="T2" i="42"/>
  <c r="D2" i="42" s="1"/>
  <c r="E34" i="50"/>
  <c r="E40" i="50"/>
  <c r="E44" i="50"/>
  <c r="E45" i="50"/>
  <c r="E48" i="50"/>
  <c r="E25" i="50"/>
  <c r="E27" i="50"/>
  <c r="E35" i="50"/>
  <c r="E36" i="50"/>
  <c r="E43" i="50"/>
  <c r="E17" i="50"/>
  <c r="E16" i="50"/>
  <c r="E18" i="50"/>
  <c r="E11" i="50"/>
  <c r="E4" i="50"/>
  <c r="E8" i="50"/>
  <c r="E2" i="50"/>
  <c r="H33" i="50" l="1"/>
  <c r="H38" i="50"/>
  <c r="H3" i="50"/>
  <c r="G19" i="50"/>
  <c r="H37" i="50"/>
  <c r="G33" i="50"/>
  <c r="H7" i="50"/>
  <c r="H21" i="50"/>
  <c r="G31" i="50"/>
  <c r="G38" i="50"/>
  <c r="G3" i="50"/>
  <c r="H6" i="50"/>
  <c r="H26" i="50"/>
  <c r="G37" i="50"/>
  <c r="H46" i="50"/>
  <c r="G7" i="50"/>
  <c r="H9" i="50"/>
  <c r="G21" i="50"/>
  <c r="G24" i="50"/>
  <c r="G20" i="50"/>
  <c r="G47" i="50"/>
  <c r="G6" i="50"/>
  <c r="H10" i="50"/>
  <c r="G26" i="50"/>
  <c r="H39" i="50"/>
  <c r="G46" i="50"/>
  <c r="G9" i="50"/>
  <c r="G10" i="50"/>
  <c r="H13" i="50"/>
  <c r="G39" i="50"/>
  <c r="H42" i="50"/>
  <c r="H19" i="50"/>
  <c r="H32" i="50"/>
  <c r="G42" i="50"/>
  <c r="H15" i="50"/>
  <c r="G32" i="50"/>
  <c r="G22" i="50"/>
  <c r="H31" i="50"/>
  <c r="G13" i="50"/>
  <c r="H30" i="50"/>
  <c r="H22" i="50"/>
  <c r="G30" i="50"/>
  <c r="H24" i="50"/>
  <c r="G15" i="50"/>
  <c r="H20" i="50"/>
  <c r="H47" i="50"/>
  <c r="F23" i="50"/>
  <c r="W23" i="50" s="1"/>
  <c r="X8" i="4"/>
  <c r="R7" i="50" s="1"/>
  <c r="L7" i="50"/>
  <c r="AN7" i="50" s="1"/>
  <c r="X41" i="4"/>
  <c r="R42" i="50" s="1"/>
  <c r="L42" i="50"/>
  <c r="AN42" i="50" s="1"/>
  <c r="X24" i="4"/>
  <c r="R21" i="50" s="1"/>
  <c r="L21" i="50"/>
  <c r="AN21" i="50" s="1"/>
  <c r="X15" i="4"/>
  <c r="R15" i="50" s="1"/>
  <c r="L15" i="50"/>
  <c r="AN15" i="50" s="1"/>
  <c r="X36" i="4"/>
  <c r="R32" i="50" s="1"/>
  <c r="L32" i="50"/>
  <c r="AN32" i="50" s="1"/>
  <c r="X8" i="42"/>
  <c r="R6" i="50" s="1"/>
  <c r="L6" i="50"/>
  <c r="AN6" i="50" s="1"/>
  <c r="X5" i="42"/>
  <c r="R3" i="50" s="1"/>
  <c r="L3" i="50"/>
  <c r="AN3" i="50" s="1"/>
  <c r="X29" i="4"/>
  <c r="R31" i="50" s="1"/>
  <c r="L31" i="50"/>
  <c r="AN31" i="50" s="1"/>
  <c r="X18" i="4"/>
  <c r="R20" i="50" s="1"/>
  <c r="L20" i="50"/>
  <c r="AN20" i="50" s="1"/>
  <c r="D11" i="4"/>
  <c r="P9" i="50"/>
  <c r="AS9" i="50" s="1"/>
  <c r="D41" i="4"/>
  <c r="P42" i="50"/>
  <c r="AS42" i="50" s="1"/>
  <c r="D36" i="4"/>
  <c r="P32" i="50"/>
  <c r="AS32" i="50" s="1"/>
  <c r="D29" i="42"/>
  <c r="P30" i="50"/>
  <c r="AS30" i="50" s="1"/>
  <c r="D15" i="4"/>
  <c r="P15" i="50"/>
  <c r="AS15" i="50" s="1"/>
  <c r="D5" i="42"/>
  <c r="P3" i="50"/>
  <c r="AS3" i="50" s="1"/>
  <c r="D8" i="4"/>
  <c r="P7" i="50"/>
  <c r="AS7" i="50" s="1"/>
  <c r="D24" i="4"/>
  <c r="P21" i="50"/>
  <c r="AS21" i="50" s="1"/>
  <c r="D8" i="42"/>
  <c r="P6" i="50"/>
  <c r="AS6" i="50" s="1"/>
  <c r="D25" i="42"/>
  <c r="P26" i="50"/>
  <c r="AS26" i="50" s="1"/>
  <c r="D11" i="42"/>
  <c r="P10" i="50"/>
  <c r="AS10" i="50" s="1"/>
  <c r="D14" i="42"/>
  <c r="P13" i="50"/>
  <c r="AS13" i="50" s="1"/>
  <c r="D24" i="42"/>
  <c r="P22" i="50"/>
  <c r="AS22" i="50" s="1"/>
  <c r="D32" i="42"/>
  <c r="P24" i="50"/>
  <c r="AS24" i="50" s="1"/>
  <c r="D18" i="4"/>
  <c r="P20" i="50"/>
  <c r="AS20" i="50" s="1"/>
  <c r="D42" i="4"/>
  <c r="P47" i="50"/>
  <c r="AS47" i="50" s="1"/>
  <c r="D30" i="42"/>
  <c r="P37" i="50"/>
  <c r="AS37" i="50" s="1"/>
  <c r="D42" i="42"/>
  <c r="P46" i="50"/>
  <c r="AS46" i="50" s="1"/>
  <c r="D37" i="42"/>
  <c r="P39" i="50"/>
  <c r="AS39" i="50" s="1"/>
  <c r="D18" i="42"/>
  <c r="P19" i="50"/>
  <c r="AS19" i="50" s="1"/>
  <c r="D36" i="42"/>
  <c r="P33" i="50"/>
  <c r="AS33" i="50" s="1"/>
  <c r="D29" i="4"/>
  <c r="P31" i="50"/>
  <c r="AS31" i="50" s="1"/>
  <c r="D37" i="4"/>
  <c r="P38" i="50"/>
  <c r="AS38" i="50" s="1"/>
  <c r="X37" i="4"/>
  <c r="R38" i="50" s="1"/>
  <c r="X35" i="4"/>
  <c r="X42" i="4"/>
  <c r="R47" i="50" s="1"/>
  <c r="X34" i="4"/>
  <c r="X11" i="4"/>
  <c r="R9" i="50" s="1"/>
  <c r="F13" i="50" l="1"/>
  <c r="F47" i="50"/>
  <c r="F30" i="50"/>
  <c r="W30" i="50" s="1"/>
  <c r="F38" i="50"/>
  <c r="W38" i="50" s="1"/>
  <c r="F39" i="50"/>
  <c r="W39" i="50" s="1"/>
  <c r="F20" i="50"/>
  <c r="F10" i="50"/>
  <c r="W10" i="50" s="1"/>
  <c r="F7" i="50"/>
  <c r="W7" i="50" s="1"/>
  <c r="F32" i="50"/>
  <c r="F19" i="50"/>
  <c r="F24" i="50"/>
  <c r="W24" i="50" s="1"/>
  <c r="F26" i="50"/>
  <c r="W26" i="50" s="1"/>
  <c r="F3" i="50"/>
  <c r="W3" i="50" s="1"/>
  <c r="F42" i="50"/>
  <c r="W42" i="50" s="1"/>
  <c r="F6" i="50"/>
  <c r="W6" i="50" s="1"/>
  <c r="F21" i="50"/>
  <c r="W21" i="50" s="1"/>
  <c r="F31" i="50"/>
  <c r="W31" i="50" s="1"/>
  <c r="F46" i="50"/>
  <c r="F33" i="50"/>
  <c r="W33" i="50" s="1"/>
  <c r="F37" i="50"/>
  <c r="W37" i="50" s="1"/>
  <c r="F22" i="50"/>
  <c r="W22" i="50" s="1"/>
  <c r="F15" i="50"/>
  <c r="W15" i="50" s="1"/>
  <c r="F9" i="50"/>
  <c r="W9" i="50" s="1"/>
  <c r="W20" i="50"/>
  <c r="W32" i="50"/>
  <c r="W46" i="50"/>
  <c r="W19" i="50"/>
  <c r="W47" i="50"/>
  <c r="W13" i="50"/>
  <c r="V43" i="49"/>
  <c r="E43" i="49" s="1"/>
  <c r="U43" i="49"/>
  <c r="F43" i="49" s="1"/>
  <c r="T43" i="49"/>
  <c r="D43" i="49" s="1"/>
  <c r="J43" i="49"/>
  <c r="X43" i="49" s="1"/>
  <c r="B43" i="49"/>
  <c r="V42" i="49"/>
  <c r="E42" i="49" s="1"/>
  <c r="U42" i="49"/>
  <c r="F42" i="49" s="1"/>
  <c r="T42" i="49"/>
  <c r="D42" i="49" s="1"/>
  <c r="J42" i="49"/>
  <c r="X42" i="49" s="1"/>
  <c r="B42" i="49"/>
  <c r="V41" i="49"/>
  <c r="E41" i="49" s="1"/>
  <c r="U41" i="49"/>
  <c r="F41" i="49" s="1"/>
  <c r="T41" i="49"/>
  <c r="J41" i="49"/>
  <c r="B41" i="49"/>
  <c r="E41" i="50" s="1"/>
  <c r="V40" i="49"/>
  <c r="E40" i="49" s="1"/>
  <c r="U40" i="49"/>
  <c r="F40" i="49" s="1"/>
  <c r="T40" i="49"/>
  <c r="D40" i="49" s="1"/>
  <c r="J40" i="49"/>
  <c r="X40" i="49" s="1"/>
  <c r="B40" i="49"/>
  <c r="V39" i="49"/>
  <c r="E39" i="49" s="1"/>
  <c r="U39" i="49"/>
  <c r="F39" i="49" s="1"/>
  <c r="T39" i="49"/>
  <c r="D39" i="49" s="1"/>
  <c r="J39" i="49"/>
  <c r="X39" i="49" s="1"/>
  <c r="B39" i="49"/>
  <c r="V38" i="49"/>
  <c r="E38" i="49" s="1"/>
  <c r="U38" i="49"/>
  <c r="F38" i="49" s="1"/>
  <c r="T38" i="49"/>
  <c r="D38" i="49" s="1"/>
  <c r="J38" i="49"/>
  <c r="X38" i="49" s="1"/>
  <c r="B38" i="49"/>
  <c r="V37" i="49"/>
  <c r="E37" i="49" s="1"/>
  <c r="U37" i="49"/>
  <c r="F37" i="49" s="1"/>
  <c r="T37" i="49"/>
  <c r="D37" i="49" s="1"/>
  <c r="J37" i="49"/>
  <c r="X37" i="49" s="1"/>
  <c r="B37" i="49"/>
  <c r="V36" i="49"/>
  <c r="E36" i="49" s="1"/>
  <c r="U36" i="49"/>
  <c r="F36" i="49" s="1"/>
  <c r="T36" i="49"/>
  <c r="J36" i="49"/>
  <c r="B36" i="49"/>
  <c r="E28" i="50" s="1"/>
  <c r="V35" i="49"/>
  <c r="E35" i="49" s="1"/>
  <c r="U35" i="49"/>
  <c r="F35" i="49" s="1"/>
  <c r="T35" i="49"/>
  <c r="D35" i="49" s="1"/>
  <c r="J35" i="49"/>
  <c r="X35" i="49" s="1"/>
  <c r="B35" i="49"/>
  <c r="V34" i="49"/>
  <c r="E34" i="49" s="1"/>
  <c r="U34" i="49"/>
  <c r="F34" i="49" s="1"/>
  <c r="T34" i="49"/>
  <c r="D34" i="49" s="1"/>
  <c r="J34" i="49"/>
  <c r="X34" i="49" s="1"/>
  <c r="B34" i="49"/>
  <c r="V33" i="49"/>
  <c r="E33" i="49" s="1"/>
  <c r="U33" i="49"/>
  <c r="F33" i="49" s="1"/>
  <c r="T33" i="49"/>
  <c r="D33" i="49" s="1"/>
  <c r="J33" i="49"/>
  <c r="X33" i="49" s="1"/>
  <c r="B33" i="49"/>
  <c r="V32" i="49"/>
  <c r="E32" i="49" s="1"/>
  <c r="U32" i="49"/>
  <c r="F32" i="49" s="1"/>
  <c r="T32" i="49"/>
  <c r="D32" i="49" s="1"/>
  <c r="J32" i="49"/>
  <c r="X32" i="49" s="1"/>
  <c r="B32" i="49"/>
  <c r="V31" i="49"/>
  <c r="E31" i="49" s="1"/>
  <c r="U31" i="49"/>
  <c r="F31" i="49" s="1"/>
  <c r="T31" i="49"/>
  <c r="D31" i="49" s="1"/>
  <c r="J31" i="49"/>
  <c r="X31" i="49" s="1"/>
  <c r="B31" i="49"/>
  <c r="V30" i="49"/>
  <c r="E30" i="49" s="1"/>
  <c r="U30" i="49"/>
  <c r="F30" i="49" s="1"/>
  <c r="T30" i="49"/>
  <c r="D30" i="49" s="1"/>
  <c r="J30" i="49"/>
  <c r="X30" i="49" s="1"/>
  <c r="B30" i="49"/>
  <c r="V29" i="49"/>
  <c r="E29" i="49" s="1"/>
  <c r="U29" i="49"/>
  <c r="F29" i="49" s="1"/>
  <c r="T29" i="49"/>
  <c r="J29" i="49"/>
  <c r="B29" i="49"/>
  <c r="E29" i="50" s="1"/>
  <c r="V28" i="49"/>
  <c r="E28" i="49" s="1"/>
  <c r="U28" i="49"/>
  <c r="F28" i="49" s="1"/>
  <c r="T28" i="49"/>
  <c r="D28" i="49" s="1"/>
  <c r="J28" i="49"/>
  <c r="X28" i="49" s="1"/>
  <c r="B28" i="49"/>
  <c r="V27" i="49"/>
  <c r="E27" i="49" s="1"/>
  <c r="U27" i="49"/>
  <c r="F27" i="49" s="1"/>
  <c r="T27" i="49"/>
  <c r="D27" i="49" s="1"/>
  <c r="J27" i="49"/>
  <c r="X27" i="49" s="1"/>
  <c r="B27" i="49"/>
  <c r="V26" i="49"/>
  <c r="E26" i="49" s="1"/>
  <c r="U26" i="49"/>
  <c r="F26" i="49" s="1"/>
  <c r="T26" i="49"/>
  <c r="D26" i="49" s="1"/>
  <c r="J26" i="49"/>
  <c r="X26" i="49" s="1"/>
  <c r="B26" i="49"/>
  <c r="V25" i="49"/>
  <c r="E25" i="49" s="1"/>
  <c r="U25" i="49"/>
  <c r="F25" i="49" s="1"/>
  <c r="T25" i="49"/>
  <c r="D25" i="49" s="1"/>
  <c r="J25" i="49"/>
  <c r="X25" i="49" s="1"/>
  <c r="B25" i="49"/>
  <c r="V24" i="49"/>
  <c r="E24" i="49" s="1"/>
  <c r="U24" i="49"/>
  <c r="F24" i="49" s="1"/>
  <c r="T24" i="49"/>
  <c r="D24" i="49" s="1"/>
  <c r="J24" i="49"/>
  <c r="X24" i="49" s="1"/>
  <c r="B24" i="49"/>
  <c r="V23" i="49"/>
  <c r="E23" i="49" s="1"/>
  <c r="U23" i="49"/>
  <c r="F23" i="49" s="1"/>
  <c r="T23" i="49"/>
  <c r="D23" i="49" s="1"/>
  <c r="J23" i="49"/>
  <c r="X23" i="49" s="1"/>
  <c r="B23" i="49"/>
  <c r="V22" i="49"/>
  <c r="E22" i="49" s="1"/>
  <c r="U22" i="49"/>
  <c r="F22" i="49" s="1"/>
  <c r="T22" i="49"/>
  <c r="D22" i="49" s="1"/>
  <c r="J22" i="49"/>
  <c r="X22" i="49" s="1"/>
  <c r="B22" i="49"/>
  <c r="V21" i="49"/>
  <c r="E21" i="49" s="1"/>
  <c r="U21" i="49"/>
  <c r="F21" i="49" s="1"/>
  <c r="T21" i="49"/>
  <c r="D21" i="49" s="1"/>
  <c r="J21" i="49"/>
  <c r="X21" i="49" s="1"/>
  <c r="B21" i="49"/>
  <c r="V20" i="49"/>
  <c r="E20" i="49" s="1"/>
  <c r="U20" i="49"/>
  <c r="F20" i="49" s="1"/>
  <c r="T20" i="49"/>
  <c r="D20" i="49" s="1"/>
  <c r="J20" i="49"/>
  <c r="X20" i="49" s="1"/>
  <c r="B20" i="49"/>
  <c r="V19" i="49"/>
  <c r="E19" i="49" s="1"/>
  <c r="U19" i="49"/>
  <c r="F19" i="49" s="1"/>
  <c r="T19" i="49"/>
  <c r="D19" i="49" s="1"/>
  <c r="J19" i="49"/>
  <c r="X19" i="49" s="1"/>
  <c r="B19" i="49"/>
  <c r="V18" i="49"/>
  <c r="E18" i="49" s="1"/>
  <c r="U18" i="49"/>
  <c r="F18" i="49" s="1"/>
  <c r="T18" i="49"/>
  <c r="D18" i="49" s="1"/>
  <c r="J18" i="49"/>
  <c r="X18" i="49" s="1"/>
  <c r="B18" i="49"/>
  <c r="V17" i="49"/>
  <c r="E17" i="49" s="1"/>
  <c r="U17" i="49"/>
  <c r="F17" i="49" s="1"/>
  <c r="T17" i="49"/>
  <c r="J17" i="49"/>
  <c r="B17" i="49"/>
  <c r="E14" i="50" s="1"/>
  <c r="V16" i="49"/>
  <c r="E16" i="49" s="1"/>
  <c r="U16" i="49"/>
  <c r="F16" i="49" s="1"/>
  <c r="T16" i="49"/>
  <c r="D16" i="49" s="1"/>
  <c r="J16" i="49"/>
  <c r="X16" i="49" s="1"/>
  <c r="B16" i="49"/>
  <c r="V15" i="49"/>
  <c r="E15" i="49" s="1"/>
  <c r="U15" i="49"/>
  <c r="F15" i="49" s="1"/>
  <c r="T15" i="49"/>
  <c r="D15" i="49" s="1"/>
  <c r="J15" i="49"/>
  <c r="X15" i="49" s="1"/>
  <c r="B15" i="49"/>
  <c r="V14" i="49"/>
  <c r="E14" i="49" s="1"/>
  <c r="U14" i="49"/>
  <c r="F14" i="49" s="1"/>
  <c r="T14" i="49"/>
  <c r="J14" i="49"/>
  <c r="B14" i="49"/>
  <c r="E12" i="50" s="1"/>
  <c r="V13" i="49"/>
  <c r="E13" i="49" s="1"/>
  <c r="U13" i="49"/>
  <c r="F13" i="49" s="1"/>
  <c r="T13" i="49"/>
  <c r="D13" i="49" s="1"/>
  <c r="J13" i="49"/>
  <c r="X13" i="49" s="1"/>
  <c r="B13" i="49"/>
  <c r="V12" i="49"/>
  <c r="E12" i="49" s="1"/>
  <c r="U12" i="49"/>
  <c r="F12" i="49" s="1"/>
  <c r="T12" i="49"/>
  <c r="D12" i="49" s="1"/>
  <c r="J12" i="49"/>
  <c r="X12" i="49" s="1"/>
  <c r="B12" i="49"/>
  <c r="V11" i="49"/>
  <c r="E11" i="49" s="1"/>
  <c r="U11" i="49"/>
  <c r="F11" i="49" s="1"/>
  <c r="T11" i="49"/>
  <c r="D11" i="49" s="1"/>
  <c r="J11" i="49"/>
  <c r="X11" i="49" s="1"/>
  <c r="B11" i="49"/>
  <c r="V10" i="49"/>
  <c r="E10" i="49" s="1"/>
  <c r="U10" i="49"/>
  <c r="F10" i="49" s="1"/>
  <c r="T10" i="49"/>
  <c r="D10" i="49" s="1"/>
  <c r="J10" i="49"/>
  <c r="X10" i="49" s="1"/>
  <c r="B10" i="49"/>
  <c r="V9" i="49"/>
  <c r="E9" i="49" s="1"/>
  <c r="U9" i="49"/>
  <c r="F9" i="49" s="1"/>
  <c r="T9" i="49"/>
  <c r="D9" i="49" s="1"/>
  <c r="J9" i="49"/>
  <c r="X9" i="49" s="1"/>
  <c r="B9" i="49"/>
  <c r="V8" i="49"/>
  <c r="E8" i="49" s="1"/>
  <c r="U8" i="49"/>
  <c r="F8" i="49" s="1"/>
  <c r="T8" i="49"/>
  <c r="J8" i="49"/>
  <c r="B8" i="49"/>
  <c r="E5" i="50" s="1"/>
  <c r="V7" i="49"/>
  <c r="E7" i="49" s="1"/>
  <c r="U7" i="49"/>
  <c r="F7" i="49" s="1"/>
  <c r="T7" i="49"/>
  <c r="D7" i="49" s="1"/>
  <c r="J7" i="49"/>
  <c r="X7" i="49" s="1"/>
  <c r="B7" i="49"/>
  <c r="V6" i="49"/>
  <c r="E6" i="49" s="1"/>
  <c r="U6" i="49"/>
  <c r="F6" i="49" s="1"/>
  <c r="T6" i="49"/>
  <c r="D6" i="49" s="1"/>
  <c r="J6" i="49"/>
  <c r="X6" i="49" s="1"/>
  <c r="B6" i="49"/>
  <c r="V5" i="49"/>
  <c r="E5" i="49" s="1"/>
  <c r="U5" i="49"/>
  <c r="F5" i="49" s="1"/>
  <c r="T5" i="49"/>
  <c r="D5" i="49" s="1"/>
  <c r="J5" i="49"/>
  <c r="X5" i="49" s="1"/>
  <c r="B5" i="49"/>
  <c r="V4" i="49"/>
  <c r="E4" i="49" s="1"/>
  <c r="U4" i="49"/>
  <c r="F4" i="49" s="1"/>
  <c r="T4" i="49"/>
  <c r="D4" i="49" s="1"/>
  <c r="J4" i="49"/>
  <c r="X4" i="49" s="1"/>
  <c r="B4" i="49"/>
  <c r="V3" i="49"/>
  <c r="E3" i="49" s="1"/>
  <c r="U3" i="49"/>
  <c r="F3" i="49" s="1"/>
  <c r="T3" i="49"/>
  <c r="D3" i="49" s="1"/>
  <c r="J3" i="49"/>
  <c r="X3" i="49" s="1"/>
  <c r="B3" i="49"/>
  <c r="V2" i="49"/>
  <c r="E2" i="49" s="1"/>
  <c r="U2" i="49"/>
  <c r="F2" i="49" s="1"/>
  <c r="T2" i="49"/>
  <c r="D2" i="49" s="1"/>
  <c r="J2" i="49"/>
  <c r="X2" i="49" s="1"/>
  <c r="B2" i="49"/>
  <c r="J43" i="46"/>
  <c r="L48" i="50" s="1"/>
  <c r="AN48" i="50" s="1"/>
  <c r="T43" i="46"/>
  <c r="U43" i="46"/>
  <c r="F43" i="46" s="1"/>
  <c r="V43" i="46"/>
  <c r="E43" i="46" s="1"/>
  <c r="J23" i="46"/>
  <c r="T11" i="46"/>
  <c r="U11" i="46"/>
  <c r="F11" i="46" s="1"/>
  <c r="V11" i="46"/>
  <c r="E11" i="46" s="1"/>
  <c r="T12" i="46"/>
  <c r="D12" i="46" s="1"/>
  <c r="U12" i="46"/>
  <c r="F12" i="46" s="1"/>
  <c r="V12" i="46"/>
  <c r="E12" i="46" s="1"/>
  <c r="T14" i="46"/>
  <c r="D14" i="46" s="1"/>
  <c r="U14" i="46"/>
  <c r="F14" i="46" s="1"/>
  <c r="V14" i="46"/>
  <c r="E14" i="46" s="1"/>
  <c r="T15" i="46"/>
  <c r="U15" i="46"/>
  <c r="F15" i="46" s="1"/>
  <c r="V15" i="46"/>
  <c r="E15" i="46" s="1"/>
  <c r="T17" i="46"/>
  <c r="D17" i="46" s="1"/>
  <c r="U17" i="46"/>
  <c r="F17" i="46" s="1"/>
  <c r="V17" i="46"/>
  <c r="E17" i="46" s="1"/>
  <c r="T18" i="46"/>
  <c r="U18" i="46"/>
  <c r="F18" i="46" s="1"/>
  <c r="V18" i="46"/>
  <c r="E18" i="46" s="1"/>
  <c r="T20" i="46"/>
  <c r="U20" i="46"/>
  <c r="F20" i="46" s="1"/>
  <c r="V20" i="46"/>
  <c r="E20" i="46" s="1"/>
  <c r="T21" i="46"/>
  <c r="D21" i="46" s="1"/>
  <c r="U21" i="46"/>
  <c r="F21" i="46" s="1"/>
  <c r="V21" i="46"/>
  <c r="E21" i="46" s="1"/>
  <c r="T22" i="46"/>
  <c r="D22" i="46" s="1"/>
  <c r="U22" i="46"/>
  <c r="F22" i="46" s="1"/>
  <c r="V22" i="46"/>
  <c r="E22" i="46" s="1"/>
  <c r="T23" i="46"/>
  <c r="D23" i="46" s="1"/>
  <c r="U23" i="46"/>
  <c r="F23" i="46" s="1"/>
  <c r="V23" i="46"/>
  <c r="E23" i="46" s="1"/>
  <c r="T24" i="46"/>
  <c r="D24" i="46" s="1"/>
  <c r="U24" i="46"/>
  <c r="F24" i="46" s="1"/>
  <c r="V24" i="46"/>
  <c r="E24" i="46" s="1"/>
  <c r="T25" i="46"/>
  <c r="U25" i="46"/>
  <c r="F25" i="46" s="1"/>
  <c r="V25" i="46"/>
  <c r="E25" i="46" s="1"/>
  <c r="T26" i="46"/>
  <c r="U26" i="46"/>
  <c r="F26" i="46" s="1"/>
  <c r="V26" i="46"/>
  <c r="E26" i="46" s="1"/>
  <c r="T27" i="46"/>
  <c r="D27" i="46" s="1"/>
  <c r="U27" i="46"/>
  <c r="F27" i="46" s="1"/>
  <c r="V27" i="46"/>
  <c r="E27" i="46" s="1"/>
  <c r="T28" i="46"/>
  <c r="D28" i="46" s="1"/>
  <c r="U28" i="46"/>
  <c r="F28" i="46" s="1"/>
  <c r="V28" i="46"/>
  <c r="E28" i="46" s="1"/>
  <c r="T29" i="46"/>
  <c r="D29" i="46" s="1"/>
  <c r="U29" i="46"/>
  <c r="F29" i="46" s="1"/>
  <c r="V29" i="46"/>
  <c r="E29" i="46" s="1"/>
  <c r="T30" i="46"/>
  <c r="U30" i="46"/>
  <c r="F30" i="46" s="1"/>
  <c r="V30" i="46"/>
  <c r="E30" i="46" s="1"/>
  <c r="T31" i="46"/>
  <c r="U31" i="46"/>
  <c r="F31" i="46" s="1"/>
  <c r="V31" i="46"/>
  <c r="E31" i="46" s="1"/>
  <c r="T32" i="46"/>
  <c r="U32" i="46"/>
  <c r="F32" i="46" s="1"/>
  <c r="V32" i="46"/>
  <c r="E32" i="46" s="1"/>
  <c r="T33" i="46"/>
  <c r="U33" i="46"/>
  <c r="F33" i="46" s="1"/>
  <c r="V33" i="46"/>
  <c r="E33" i="46" s="1"/>
  <c r="T34" i="46"/>
  <c r="D34" i="46" s="1"/>
  <c r="U34" i="46"/>
  <c r="F34" i="46" s="1"/>
  <c r="V34" i="46"/>
  <c r="E34" i="46" s="1"/>
  <c r="T35" i="46"/>
  <c r="D35" i="46" s="1"/>
  <c r="U35" i="46"/>
  <c r="F35" i="46" s="1"/>
  <c r="V35" i="46"/>
  <c r="E35" i="46" s="1"/>
  <c r="T36" i="46"/>
  <c r="D36" i="46" s="1"/>
  <c r="U36" i="46"/>
  <c r="F36" i="46" s="1"/>
  <c r="V36" i="46"/>
  <c r="E36" i="46" s="1"/>
  <c r="T37" i="46"/>
  <c r="U37" i="46"/>
  <c r="F37" i="46" s="1"/>
  <c r="V37" i="46"/>
  <c r="E37" i="46" s="1"/>
  <c r="T38" i="46"/>
  <c r="U38" i="46"/>
  <c r="F38" i="46" s="1"/>
  <c r="V38" i="46"/>
  <c r="E38" i="46" s="1"/>
  <c r="T39" i="46"/>
  <c r="D39" i="46" s="1"/>
  <c r="U39" i="46"/>
  <c r="F39" i="46" s="1"/>
  <c r="V39" i="46"/>
  <c r="E39" i="46" s="1"/>
  <c r="T40" i="46"/>
  <c r="D40" i="46" s="1"/>
  <c r="U40" i="46"/>
  <c r="F40" i="46" s="1"/>
  <c r="V40" i="46"/>
  <c r="E40" i="46" s="1"/>
  <c r="T41" i="46"/>
  <c r="D41" i="46" s="1"/>
  <c r="U41" i="46"/>
  <c r="F41" i="46" s="1"/>
  <c r="V41" i="46"/>
  <c r="E41" i="46" s="1"/>
  <c r="T42" i="46"/>
  <c r="U42" i="46"/>
  <c r="F42" i="46" s="1"/>
  <c r="V42" i="46"/>
  <c r="E42" i="46" s="1"/>
  <c r="T3" i="46"/>
  <c r="D3" i="46" s="1"/>
  <c r="U3" i="46"/>
  <c r="F3" i="46" s="1"/>
  <c r="V3" i="46"/>
  <c r="E3" i="46" s="1"/>
  <c r="T5" i="46"/>
  <c r="U5" i="46"/>
  <c r="F5" i="46" s="1"/>
  <c r="V5" i="46"/>
  <c r="E5" i="46" s="1"/>
  <c r="T6" i="46"/>
  <c r="D6" i="46" s="1"/>
  <c r="U6" i="46"/>
  <c r="F6" i="46" s="1"/>
  <c r="V6" i="46"/>
  <c r="E6" i="46" s="1"/>
  <c r="T8" i="46"/>
  <c r="D8" i="46" s="1"/>
  <c r="U8" i="46"/>
  <c r="F8" i="46" s="1"/>
  <c r="V8" i="46"/>
  <c r="E8" i="46" s="1"/>
  <c r="T9" i="46"/>
  <c r="U9" i="46"/>
  <c r="F9" i="46" s="1"/>
  <c r="V9" i="46"/>
  <c r="E9" i="46" s="1"/>
  <c r="V2" i="46"/>
  <c r="E2" i="46" s="1"/>
  <c r="U2" i="46"/>
  <c r="F2" i="46" s="1"/>
  <c r="T2" i="46"/>
  <c r="G5" i="50" l="1"/>
  <c r="H29" i="50"/>
  <c r="H2" i="50"/>
  <c r="G40" i="50"/>
  <c r="H25" i="50"/>
  <c r="G29" i="50"/>
  <c r="G25" i="50"/>
  <c r="G2" i="50"/>
  <c r="G45" i="50"/>
  <c r="H40" i="50"/>
  <c r="G35" i="50"/>
  <c r="G48" i="50"/>
  <c r="H18" i="50"/>
  <c r="G8" i="50"/>
  <c r="H45" i="50"/>
  <c r="G43" i="50"/>
  <c r="H35" i="50"/>
  <c r="H48" i="50"/>
  <c r="H28" i="50"/>
  <c r="G4" i="50"/>
  <c r="H43" i="50"/>
  <c r="G17" i="50"/>
  <c r="H14" i="50"/>
  <c r="G28" i="50"/>
  <c r="H41" i="50"/>
  <c r="G34" i="50"/>
  <c r="G27" i="50"/>
  <c r="H17" i="50"/>
  <c r="G16" i="50"/>
  <c r="H12" i="50"/>
  <c r="G14" i="50"/>
  <c r="G41" i="50"/>
  <c r="G44" i="50"/>
  <c r="G36" i="50"/>
  <c r="H16" i="50"/>
  <c r="G11" i="50"/>
  <c r="G12" i="50"/>
  <c r="H8" i="50"/>
  <c r="H4" i="50"/>
  <c r="H34" i="50"/>
  <c r="H27" i="50"/>
  <c r="H44" i="50"/>
  <c r="H36" i="50"/>
  <c r="G18" i="50"/>
  <c r="H11" i="50"/>
  <c r="H5" i="50"/>
  <c r="X36" i="49"/>
  <c r="R28" i="50" s="1"/>
  <c r="L28" i="50"/>
  <c r="AN28" i="50" s="1"/>
  <c r="X17" i="49"/>
  <c r="R14" i="50" s="1"/>
  <c r="L14" i="50"/>
  <c r="AN14" i="50" s="1"/>
  <c r="X41" i="49"/>
  <c r="R41" i="50" s="1"/>
  <c r="L41" i="50"/>
  <c r="AN41" i="50" s="1"/>
  <c r="X14" i="49"/>
  <c r="R12" i="50" s="1"/>
  <c r="L12" i="50"/>
  <c r="AN12" i="50" s="1"/>
  <c r="X8" i="49"/>
  <c r="R5" i="50" s="1"/>
  <c r="L5" i="50"/>
  <c r="AN5" i="50" s="1"/>
  <c r="X29" i="49"/>
  <c r="R29" i="50" s="1"/>
  <c r="L29" i="50"/>
  <c r="AN29" i="50" s="1"/>
  <c r="D36" i="49"/>
  <c r="P28" i="50"/>
  <c r="AS28" i="50" s="1"/>
  <c r="D17" i="49"/>
  <c r="P14" i="50"/>
  <c r="AS14" i="50" s="1"/>
  <c r="D41" i="49"/>
  <c r="P41" i="50"/>
  <c r="AS41" i="50" s="1"/>
  <c r="D26" i="46"/>
  <c r="P35" i="50"/>
  <c r="AS35" i="50" s="1"/>
  <c r="D43" i="46"/>
  <c r="P48" i="50"/>
  <c r="AS48" i="50" s="1"/>
  <c r="D14" i="49"/>
  <c r="P12" i="50"/>
  <c r="AS12" i="50" s="1"/>
  <c r="D18" i="46"/>
  <c r="P18" i="50"/>
  <c r="AS18" i="50" s="1"/>
  <c r="D37" i="46"/>
  <c r="P40" i="50"/>
  <c r="AS40" i="50" s="1"/>
  <c r="D32" i="46"/>
  <c r="P25" i="50"/>
  <c r="AS25" i="50" s="1"/>
  <c r="D42" i="46"/>
  <c r="P45" i="50"/>
  <c r="AS45" i="50" s="1"/>
  <c r="D31" i="46"/>
  <c r="P43" i="50"/>
  <c r="AS43" i="50" s="1"/>
  <c r="D5" i="46"/>
  <c r="P4" i="50"/>
  <c r="AS4" i="50" s="1"/>
  <c r="D20" i="46"/>
  <c r="P17" i="50"/>
  <c r="AS17" i="50" s="1"/>
  <c r="D8" i="49"/>
  <c r="P5" i="50"/>
  <c r="AS5" i="50" s="1"/>
  <c r="D9" i="46"/>
  <c r="P8" i="50"/>
  <c r="AS8" i="50" s="1"/>
  <c r="D33" i="46"/>
  <c r="P34" i="50"/>
  <c r="AS34" i="50" s="1"/>
  <c r="D25" i="46"/>
  <c r="P27" i="50"/>
  <c r="AS27" i="50" s="1"/>
  <c r="D15" i="46"/>
  <c r="P16" i="50"/>
  <c r="AS16" i="50" s="1"/>
  <c r="D29" i="49"/>
  <c r="P29" i="50"/>
  <c r="AS29" i="50" s="1"/>
  <c r="D2" i="46"/>
  <c r="P2" i="50"/>
  <c r="AS2" i="50" s="1"/>
  <c r="D38" i="46"/>
  <c r="P44" i="50"/>
  <c r="AS44" i="50" s="1"/>
  <c r="D30" i="46"/>
  <c r="P36" i="50"/>
  <c r="AS36" i="50" s="1"/>
  <c r="D11" i="46"/>
  <c r="P11" i="50"/>
  <c r="AS11" i="50" s="1"/>
  <c r="X43" i="46"/>
  <c r="R48" i="50" s="1"/>
  <c r="X23" i="46"/>
  <c r="F44" i="50" l="1"/>
  <c r="W44" i="50" s="1"/>
  <c r="F27" i="50"/>
  <c r="F17" i="50"/>
  <c r="W17" i="50" s="1"/>
  <c r="F25" i="50"/>
  <c r="W25" i="50" s="1"/>
  <c r="F48" i="50"/>
  <c r="W48" i="50" s="1"/>
  <c r="F28" i="50"/>
  <c r="W28" i="50" s="1"/>
  <c r="F2" i="50"/>
  <c r="W2" i="50" s="1"/>
  <c r="F34" i="50"/>
  <c r="W34" i="50" s="1"/>
  <c r="F4" i="50"/>
  <c r="F40" i="50"/>
  <c r="F35" i="50"/>
  <c r="W35" i="50" s="1"/>
  <c r="F11" i="50"/>
  <c r="W11" i="50" s="1"/>
  <c r="F29" i="50"/>
  <c r="W29" i="50" s="1"/>
  <c r="F8" i="50"/>
  <c r="W8" i="50" s="1"/>
  <c r="F43" i="50"/>
  <c r="W43" i="50" s="1"/>
  <c r="F18" i="50"/>
  <c r="W18" i="50" s="1"/>
  <c r="F41" i="50"/>
  <c r="F16" i="50"/>
  <c r="F5" i="50"/>
  <c r="W5" i="50" s="1"/>
  <c r="F45" i="50"/>
  <c r="W45" i="50" s="1"/>
  <c r="F12" i="50"/>
  <c r="W12" i="50" s="1"/>
  <c r="F14" i="50"/>
  <c r="W14" i="50" s="1"/>
  <c r="F36" i="50"/>
  <c r="W36" i="50" s="1"/>
  <c r="W27" i="50"/>
  <c r="W4" i="50"/>
  <c r="W40" i="50"/>
  <c r="W41" i="50"/>
  <c r="W16" i="50"/>
  <c r="W13" i="46" l="1"/>
  <c r="K13" i="46" s="1"/>
  <c r="L13" i="46" s="1"/>
  <c r="W4" i="46"/>
  <c r="K4" i="46" s="1"/>
  <c r="L4" i="46" s="1"/>
  <c r="W19" i="46"/>
  <c r="W10" i="46"/>
  <c r="K10" i="46" s="1"/>
  <c r="L10" i="46" s="1"/>
  <c r="W16" i="46"/>
  <c r="K16" i="46" s="1"/>
  <c r="L16" i="46" s="1"/>
  <c r="W7" i="46"/>
  <c r="K7" i="46" s="1"/>
  <c r="L7" i="46" s="1"/>
  <c r="W8" i="42"/>
  <c r="W9" i="42"/>
  <c r="W40" i="42"/>
  <c r="W43" i="42"/>
  <c r="W41" i="42"/>
  <c r="W30" i="42"/>
  <c r="W28" i="42"/>
  <c r="W19" i="42"/>
  <c r="W17" i="42"/>
  <c r="W29" i="42"/>
  <c r="W42" i="42"/>
  <c r="W31" i="42"/>
  <c r="W18" i="42"/>
  <c r="W10" i="42"/>
  <c r="W7" i="42"/>
  <c r="W15" i="42"/>
  <c r="W5" i="42"/>
  <c r="W27" i="42"/>
  <c r="K27" i="42" s="1"/>
  <c r="W14" i="42"/>
  <c r="W39" i="42"/>
  <c r="W37" i="42"/>
  <c r="W26" i="42"/>
  <c r="W24" i="42"/>
  <c r="W38" i="42"/>
  <c r="W16" i="42"/>
  <c r="W6" i="42"/>
  <c r="W36" i="42"/>
  <c r="W25" i="42"/>
  <c r="W38" i="4"/>
  <c r="K38" i="4" s="1"/>
  <c r="W36" i="4"/>
  <c r="W26" i="4"/>
  <c r="K26" i="4" s="1"/>
  <c r="W24" i="4"/>
  <c r="W16" i="4"/>
  <c r="K16" i="4" s="1"/>
  <c r="W14" i="4"/>
  <c r="K14" i="4" s="1"/>
  <c r="W6" i="4"/>
  <c r="K6" i="4" s="1"/>
  <c r="W39" i="4"/>
  <c r="K39" i="4" s="1"/>
  <c r="W37" i="4"/>
  <c r="W27" i="4"/>
  <c r="K27" i="4" s="1"/>
  <c r="W25" i="4"/>
  <c r="K25" i="4" s="1"/>
  <c r="W15" i="4"/>
  <c r="W7" i="4"/>
  <c r="K7" i="4" s="1"/>
  <c r="W5" i="4"/>
  <c r="K5" i="4" s="1"/>
  <c r="W42" i="4"/>
  <c r="W40" i="4"/>
  <c r="K40" i="4" s="1"/>
  <c r="W30" i="4"/>
  <c r="K30" i="4" s="1"/>
  <c r="W28" i="4"/>
  <c r="K28" i="4" s="1"/>
  <c r="W18" i="4"/>
  <c r="W10" i="4"/>
  <c r="K10" i="4" s="1"/>
  <c r="W8" i="4"/>
  <c r="W43" i="4"/>
  <c r="K43" i="4" s="1"/>
  <c r="W41" i="4"/>
  <c r="W31" i="4"/>
  <c r="K31" i="4" s="1"/>
  <c r="W29" i="4"/>
  <c r="W19" i="4"/>
  <c r="K19" i="4" s="1"/>
  <c r="W17" i="4"/>
  <c r="K17" i="4" s="1"/>
  <c r="W9" i="4"/>
  <c r="K9" i="4" s="1"/>
  <c r="W13" i="42"/>
  <c r="W22" i="42"/>
  <c r="W2" i="42"/>
  <c r="K2" i="42" s="1"/>
  <c r="W33" i="42"/>
  <c r="W3" i="42"/>
  <c r="W4" i="42"/>
  <c r="W34" i="42"/>
  <c r="W32" i="42"/>
  <c r="W21" i="42"/>
  <c r="W11" i="42"/>
  <c r="W20" i="42"/>
  <c r="W12" i="42"/>
  <c r="W23" i="42"/>
  <c r="K23" i="42" s="1"/>
  <c r="W35" i="42"/>
  <c r="K35" i="42" s="1"/>
  <c r="W34" i="4"/>
  <c r="K34" i="4" s="1"/>
  <c r="W32" i="4"/>
  <c r="K32" i="4" s="1"/>
  <c r="W22" i="4"/>
  <c r="K22" i="4" s="1"/>
  <c r="W20" i="4"/>
  <c r="K20" i="4" s="1"/>
  <c r="W12" i="4"/>
  <c r="K12" i="4" s="1"/>
  <c r="W4" i="4"/>
  <c r="K4" i="4" s="1"/>
  <c r="W2" i="4"/>
  <c r="W35" i="4"/>
  <c r="K35" i="4" s="1"/>
  <c r="W33" i="4"/>
  <c r="K33" i="4" s="1"/>
  <c r="W23" i="4"/>
  <c r="K23" i="4" s="1"/>
  <c r="W21" i="4"/>
  <c r="K21" i="4" s="1"/>
  <c r="W13" i="4"/>
  <c r="K13" i="4" s="1"/>
  <c r="W11" i="4"/>
  <c r="W3" i="4"/>
  <c r="K3" i="4" s="1"/>
  <c r="W12" i="46"/>
  <c r="W35" i="49"/>
  <c r="K35" i="49" s="1"/>
  <c r="W34" i="49"/>
  <c r="K34" i="49" s="1"/>
  <c r="W33" i="49"/>
  <c r="K33" i="49" s="1"/>
  <c r="W32" i="49"/>
  <c r="K32" i="49" s="1"/>
  <c r="W23" i="49"/>
  <c r="K23" i="49" s="1"/>
  <c r="W22" i="49"/>
  <c r="K22" i="49" s="1"/>
  <c r="W2" i="49"/>
  <c r="K2" i="49" s="1"/>
  <c r="W12" i="49"/>
  <c r="K12" i="49" s="1"/>
  <c r="W4" i="49"/>
  <c r="K4" i="49" s="1"/>
  <c r="W20" i="46"/>
  <c r="W22" i="46"/>
  <c r="W32" i="46"/>
  <c r="W34" i="46"/>
  <c r="W13" i="49"/>
  <c r="K13" i="49" s="1"/>
  <c r="W2" i="46"/>
  <c r="W20" i="49"/>
  <c r="K20" i="49" s="1"/>
  <c r="W21" i="49"/>
  <c r="K21" i="49" s="1"/>
  <c r="W11" i="49"/>
  <c r="K11" i="49" s="1"/>
  <c r="W3" i="49"/>
  <c r="K3" i="49" s="1"/>
  <c r="W21" i="46"/>
  <c r="W23" i="46"/>
  <c r="K23" i="46" s="1"/>
  <c r="W33" i="46"/>
  <c r="W35" i="46"/>
  <c r="W3" i="46"/>
  <c r="W11" i="46"/>
  <c r="W43" i="49"/>
  <c r="K43" i="49" s="1"/>
  <c r="W42" i="49"/>
  <c r="K42" i="49" s="1"/>
  <c r="W41" i="49"/>
  <c r="W40" i="49"/>
  <c r="K40" i="49" s="1"/>
  <c r="W31" i="49"/>
  <c r="K31" i="49" s="1"/>
  <c r="W30" i="49"/>
  <c r="K30" i="49" s="1"/>
  <c r="W29" i="49"/>
  <c r="W28" i="49"/>
  <c r="K28" i="49" s="1"/>
  <c r="W10" i="49"/>
  <c r="K10" i="49" s="1"/>
  <c r="W42" i="46"/>
  <c r="W43" i="46"/>
  <c r="W19" i="49"/>
  <c r="K19" i="49" s="1"/>
  <c r="W8" i="46"/>
  <c r="W18" i="46"/>
  <c r="W28" i="46"/>
  <c r="W30" i="46"/>
  <c r="W40" i="46"/>
  <c r="W18" i="49"/>
  <c r="K18" i="49" s="1"/>
  <c r="W9" i="49"/>
  <c r="K9" i="49" s="1"/>
  <c r="W17" i="49"/>
  <c r="W8" i="49"/>
  <c r="W17" i="46"/>
  <c r="W29" i="46"/>
  <c r="W31" i="46"/>
  <c r="W41" i="46"/>
  <c r="W9" i="46"/>
  <c r="W39" i="49"/>
  <c r="K39" i="49" s="1"/>
  <c r="W38" i="49"/>
  <c r="K38" i="49" s="1"/>
  <c r="W37" i="49"/>
  <c r="K37" i="49" s="1"/>
  <c r="W36" i="49"/>
  <c r="W27" i="49"/>
  <c r="K27" i="49" s="1"/>
  <c r="W26" i="49"/>
  <c r="K26" i="49" s="1"/>
  <c r="W25" i="49"/>
  <c r="K25" i="49" s="1"/>
  <c r="W24" i="49"/>
  <c r="K24" i="49" s="1"/>
  <c r="W38" i="46"/>
  <c r="W6" i="46"/>
  <c r="W15" i="49"/>
  <c r="K15" i="49" s="1"/>
  <c r="W7" i="49"/>
  <c r="K7" i="49" s="1"/>
  <c r="W14" i="46"/>
  <c r="W24" i="46"/>
  <c r="W26" i="46"/>
  <c r="W36" i="46"/>
  <c r="W14" i="49"/>
  <c r="W6" i="49"/>
  <c r="K6" i="49" s="1"/>
  <c r="W16" i="49"/>
  <c r="K16" i="49" s="1"/>
  <c r="W15" i="46"/>
  <c r="W25" i="46"/>
  <c r="W27" i="46"/>
  <c r="W37" i="46"/>
  <c r="W39" i="46"/>
  <c r="W5" i="46"/>
  <c r="W5" i="49"/>
  <c r="K5" i="49" s="1"/>
  <c r="J27" i="42"/>
  <c r="X27" i="42" s="1"/>
  <c r="Q27" i="50" l="1"/>
  <c r="Q19" i="50"/>
  <c r="AT19" i="50" s="1"/>
  <c r="Q16" i="50"/>
  <c r="AT16" i="50" s="1"/>
  <c r="Q18" i="50"/>
  <c r="AT18" i="50" s="1"/>
  <c r="Q2" i="50"/>
  <c r="AT2" i="50" s="1"/>
  <c r="Q34" i="50"/>
  <c r="AT34" i="50" s="1"/>
  <c r="Q44" i="50"/>
  <c r="AT44" i="50" s="1"/>
  <c r="Q25" i="50"/>
  <c r="AT25" i="50" s="1"/>
  <c r="Q45" i="50"/>
  <c r="AT45" i="50" s="1"/>
  <c r="Q35" i="50"/>
  <c r="AT35" i="50" s="1"/>
  <c r="Q17" i="50"/>
  <c r="AT17" i="50" s="1"/>
  <c r="Q4" i="50"/>
  <c r="AT4" i="50" s="1"/>
  <c r="Q8" i="50"/>
  <c r="AT8" i="50" s="1"/>
  <c r="Q40" i="50"/>
  <c r="AT40" i="50" s="1"/>
  <c r="Q43" i="50"/>
  <c r="AT43" i="50" s="1"/>
  <c r="Q36" i="50"/>
  <c r="AT36" i="50" s="1"/>
  <c r="Q11" i="50"/>
  <c r="AT11" i="50"/>
  <c r="AT27" i="50"/>
  <c r="Q7" i="50"/>
  <c r="K8" i="4"/>
  <c r="L8" i="4" s="1"/>
  <c r="Q3" i="50"/>
  <c r="K5" i="42"/>
  <c r="Q21" i="50"/>
  <c r="K24" i="4"/>
  <c r="Q20" i="50"/>
  <c r="K18" i="4"/>
  <c r="Q22" i="50"/>
  <c r="M16" i="46"/>
  <c r="P16" i="46"/>
  <c r="Q16" i="46" s="1"/>
  <c r="K43" i="46"/>
  <c r="Q48" i="50"/>
  <c r="Q6" i="50"/>
  <c r="K8" i="42"/>
  <c r="Q32" i="50"/>
  <c r="K36" i="4"/>
  <c r="L36" i="4" s="1"/>
  <c r="Q37" i="50"/>
  <c r="M10" i="46"/>
  <c r="P10" i="46"/>
  <c r="Q10" i="46" s="1"/>
  <c r="Q10" i="50"/>
  <c r="Q12" i="50"/>
  <c r="K14" i="49"/>
  <c r="Q31" i="50"/>
  <c r="K29" i="4"/>
  <c r="Q38" i="50"/>
  <c r="K37" i="4"/>
  <c r="Q39" i="50"/>
  <c r="Q23" i="50"/>
  <c r="K19" i="46"/>
  <c r="Q14" i="50"/>
  <c r="K17" i="49"/>
  <c r="Q41" i="50"/>
  <c r="K41" i="49"/>
  <c r="M7" i="46"/>
  <c r="P7" i="46"/>
  <c r="Q7" i="46" s="1"/>
  <c r="Q29" i="50"/>
  <c r="K29" i="49"/>
  <c r="L29" i="49" s="1"/>
  <c r="Q26" i="50"/>
  <c r="M4" i="46"/>
  <c r="P4" i="46"/>
  <c r="Q4" i="46" s="1"/>
  <c r="Q30" i="50"/>
  <c r="Q24" i="50"/>
  <c r="Q15" i="50"/>
  <c r="K15" i="4"/>
  <c r="L15" i="4" s="1"/>
  <c r="Q28" i="50"/>
  <c r="K36" i="49"/>
  <c r="Q5" i="50"/>
  <c r="K8" i="49"/>
  <c r="Q9" i="50"/>
  <c r="K11" i="4"/>
  <c r="L11" i="4" s="1"/>
  <c r="Q42" i="50"/>
  <c r="K41" i="4"/>
  <c r="Q47" i="50"/>
  <c r="K42" i="4"/>
  <c r="Q33" i="50"/>
  <c r="Q13" i="50"/>
  <c r="Q46" i="50"/>
  <c r="M13" i="46"/>
  <c r="P13" i="46"/>
  <c r="Q13" i="46" s="1"/>
  <c r="L4" i="49"/>
  <c r="L28" i="4"/>
  <c r="L38" i="4"/>
  <c r="L40" i="49"/>
  <c r="L2" i="49"/>
  <c r="L3" i="4"/>
  <c r="P3" i="4" s="1"/>
  <c r="Q3" i="4" s="1"/>
  <c r="L4" i="4"/>
  <c r="L31" i="4"/>
  <c r="L40" i="4"/>
  <c r="L39" i="4"/>
  <c r="M39" i="4" s="1"/>
  <c r="L30" i="49"/>
  <c r="L35" i="4"/>
  <c r="L27" i="4"/>
  <c r="L23" i="42"/>
  <c r="L24" i="49"/>
  <c r="L13" i="49"/>
  <c r="M13" i="49" s="1"/>
  <c r="L25" i="49"/>
  <c r="L18" i="49"/>
  <c r="P18" i="49" s="1"/>
  <c r="Q18" i="49" s="1"/>
  <c r="N18" i="49" s="1"/>
  <c r="L22" i="49"/>
  <c r="M22" i="49" s="1"/>
  <c r="L12" i="4"/>
  <c r="L2" i="42"/>
  <c r="L6" i="4"/>
  <c r="L35" i="49"/>
  <c r="L26" i="49"/>
  <c r="L42" i="49"/>
  <c r="L23" i="49"/>
  <c r="L13" i="4"/>
  <c r="L20" i="4"/>
  <c r="L43" i="4"/>
  <c r="L5" i="4"/>
  <c r="L14" i="4"/>
  <c r="L35" i="42"/>
  <c r="M35" i="42" s="1"/>
  <c r="L39" i="49"/>
  <c r="M39" i="49" s="1"/>
  <c r="L27" i="49"/>
  <c r="L10" i="49"/>
  <c r="L43" i="49"/>
  <c r="L3" i="49"/>
  <c r="L32" i="49"/>
  <c r="M32" i="49" s="1"/>
  <c r="L21" i="4"/>
  <c r="L22" i="4"/>
  <c r="M22" i="4" s="1"/>
  <c r="L7" i="4"/>
  <c r="L16" i="4"/>
  <c r="L19" i="49"/>
  <c r="L12" i="49"/>
  <c r="P12" i="49" s="1"/>
  <c r="Q12" i="49" s="1"/>
  <c r="N12" i="49" s="1"/>
  <c r="L30" i="4"/>
  <c r="L9" i="49"/>
  <c r="L5" i="49"/>
  <c r="L7" i="49"/>
  <c r="L28" i="49"/>
  <c r="P28" i="49" s="1"/>
  <c r="Q28" i="49" s="1"/>
  <c r="N28" i="49" s="1"/>
  <c r="L11" i="49"/>
  <c r="L33" i="49"/>
  <c r="P33" i="49" s="1"/>
  <c r="Q33" i="49" s="1"/>
  <c r="N33" i="49" s="1"/>
  <c r="L23" i="4"/>
  <c r="P23" i="4" s="1"/>
  <c r="Q23" i="4" s="1"/>
  <c r="L32" i="4"/>
  <c r="L9" i="4"/>
  <c r="L10" i="4"/>
  <c r="L38" i="49"/>
  <c r="L20" i="49"/>
  <c r="L19" i="4"/>
  <c r="L31" i="49"/>
  <c r="L23" i="46"/>
  <c r="M23" i="46" s="1"/>
  <c r="L16" i="49"/>
  <c r="L6" i="49"/>
  <c r="L15" i="49"/>
  <c r="L37" i="49"/>
  <c r="L21" i="49"/>
  <c r="L34" i="49"/>
  <c r="L33" i="4"/>
  <c r="L34" i="4"/>
  <c r="L17" i="4"/>
  <c r="L25" i="4"/>
  <c r="L26" i="4"/>
  <c r="L27" i="42"/>
  <c r="P27" i="42" s="1"/>
  <c r="Q27" i="42" s="1"/>
  <c r="J42" i="46"/>
  <c r="L45" i="50" s="1"/>
  <c r="AN45" i="50" s="1"/>
  <c r="J41" i="46"/>
  <c r="J40" i="46"/>
  <c r="J39" i="46"/>
  <c r="J38" i="46"/>
  <c r="L44" i="50" s="1"/>
  <c r="AN44" i="50" s="1"/>
  <c r="J37" i="46"/>
  <c r="L40" i="50" s="1"/>
  <c r="AN40" i="50" s="1"/>
  <c r="J36" i="46"/>
  <c r="J35" i="46"/>
  <c r="J34" i="46"/>
  <c r="J33" i="46"/>
  <c r="L34" i="50" s="1"/>
  <c r="AN34" i="50" s="1"/>
  <c r="J32" i="46"/>
  <c r="L25" i="50" s="1"/>
  <c r="AN25" i="50" s="1"/>
  <c r="J31" i="46"/>
  <c r="L43" i="50" s="1"/>
  <c r="AN43" i="50" s="1"/>
  <c r="J30" i="46"/>
  <c r="L36" i="50" s="1"/>
  <c r="AN36" i="50" s="1"/>
  <c r="J29" i="46"/>
  <c r="J28" i="46"/>
  <c r="J27" i="46"/>
  <c r="J26" i="46"/>
  <c r="L35" i="50" s="1"/>
  <c r="AN35" i="50" s="1"/>
  <c r="J25" i="46"/>
  <c r="L27" i="50" s="1"/>
  <c r="AN27" i="50" s="1"/>
  <c r="J24" i="46"/>
  <c r="J22" i="46"/>
  <c r="J21" i="46"/>
  <c r="J20" i="46"/>
  <c r="L17" i="50" s="1"/>
  <c r="AN17" i="50" s="1"/>
  <c r="J18" i="46"/>
  <c r="L18" i="50" s="1"/>
  <c r="AN18" i="50" s="1"/>
  <c r="J17" i="46"/>
  <c r="J15" i="46"/>
  <c r="L16" i="50" s="1"/>
  <c r="AN16" i="50" s="1"/>
  <c r="J14" i="46"/>
  <c r="J12" i="46"/>
  <c r="J11" i="46"/>
  <c r="L11" i="50" s="1"/>
  <c r="AN11" i="50" s="1"/>
  <c r="J9" i="46"/>
  <c r="L8" i="50" s="1"/>
  <c r="AN8" i="50" s="1"/>
  <c r="J8" i="46"/>
  <c r="J6" i="46"/>
  <c r="J5" i="46"/>
  <c r="L4" i="50" s="1"/>
  <c r="AN4" i="50" s="1"/>
  <c r="J3" i="46"/>
  <c r="J2" i="46"/>
  <c r="L2" i="50" s="1"/>
  <c r="AN2" i="50" s="1"/>
  <c r="J43" i="42"/>
  <c r="X43" i="42" s="1"/>
  <c r="J42" i="42"/>
  <c r="K42" i="42" s="1"/>
  <c r="J41" i="42"/>
  <c r="X41" i="42" s="1"/>
  <c r="J40" i="42"/>
  <c r="X40" i="42" s="1"/>
  <c r="J39" i="42"/>
  <c r="X39" i="42" s="1"/>
  <c r="J38" i="42"/>
  <c r="X38" i="42" s="1"/>
  <c r="J37" i="42"/>
  <c r="J36" i="42"/>
  <c r="J34" i="42"/>
  <c r="X34" i="42" s="1"/>
  <c r="J33" i="42"/>
  <c r="X33" i="42" s="1"/>
  <c r="J32" i="42"/>
  <c r="K32" i="42" s="1"/>
  <c r="J31" i="42"/>
  <c r="X31" i="42" s="1"/>
  <c r="J30" i="42"/>
  <c r="K30" i="42" s="1"/>
  <c r="J29" i="42"/>
  <c r="J28" i="42"/>
  <c r="X28" i="42" s="1"/>
  <c r="J26" i="42"/>
  <c r="X26" i="42" s="1"/>
  <c r="J25" i="42"/>
  <c r="K25" i="42" s="1"/>
  <c r="J24" i="42"/>
  <c r="K24" i="42" s="1"/>
  <c r="J22" i="42"/>
  <c r="X22" i="42" s="1"/>
  <c r="J21" i="42"/>
  <c r="X21" i="42" s="1"/>
  <c r="J20" i="42"/>
  <c r="X20" i="42" s="1"/>
  <c r="J19" i="42"/>
  <c r="X19" i="42" s="1"/>
  <c r="J18" i="42"/>
  <c r="L19" i="50" s="1"/>
  <c r="AN19" i="50" s="1"/>
  <c r="J17" i="42"/>
  <c r="X17" i="42" s="1"/>
  <c r="J16" i="42"/>
  <c r="X16" i="42" s="1"/>
  <c r="J15" i="42"/>
  <c r="X15" i="42" s="1"/>
  <c r="J14" i="42"/>
  <c r="K14" i="42" s="1"/>
  <c r="J13" i="42"/>
  <c r="X13" i="42" s="1"/>
  <c r="J12" i="42"/>
  <c r="X12" i="42" s="1"/>
  <c r="J11" i="42"/>
  <c r="J10" i="42"/>
  <c r="X10" i="42" s="1"/>
  <c r="J9" i="42"/>
  <c r="X9" i="42" s="1"/>
  <c r="J7" i="42"/>
  <c r="X7" i="42" s="1"/>
  <c r="J6" i="42"/>
  <c r="X6" i="42" s="1"/>
  <c r="J4" i="42"/>
  <c r="X4" i="42" s="1"/>
  <c r="J3" i="42"/>
  <c r="X3" i="42" s="1"/>
  <c r="H30" i="41"/>
  <c r="G30" i="41"/>
  <c r="C30" i="41"/>
  <c r="I29" i="41"/>
  <c r="M29" i="41" s="1"/>
  <c r="H29" i="41"/>
  <c r="G29" i="41"/>
  <c r="C29" i="41"/>
  <c r="H28" i="41"/>
  <c r="G28" i="41"/>
  <c r="C28" i="41"/>
  <c r="H27" i="41"/>
  <c r="G27" i="41"/>
  <c r="C27" i="41"/>
  <c r="H26" i="41"/>
  <c r="G26" i="41"/>
  <c r="I26" i="41" s="1"/>
  <c r="C26" i="41"/>
  <c r="H25" i="41"/>
  <c r="G25" i="41"/>
  <c r="C25" i="41"/>
  <c r="H24" i="41"/>
  <c r="I24" i="41" s="1"/>
  <c r="G24" i="41"/>
  <c r="C24" i="41"/>
  <c r="H23" i="41"/>
  <c r="G23" i="41"/>
  <c r="C23" i="41"/>
  <c r="H22" i="41"/>
  <c r="G22" i="41"/>
  <c r="I22" i="41" s="1"/>
  <c r="J22" i="41" s="1"/>
  <c r="C22" i="41"/>
  <c r="H20" i="41"/>
  <c r="I20" i="41" s="1"/>
  <c r="M20" i="41" s="1"/>
  <c r="G20" i="41"/>
  <c r="C20" i="41"/>
  <c r="H19" i="41"/>
  <c r="G19" i="41"/>
  <c r="I19" i="41" s="1"/>
  <c r="J19" i="41" s="1"/>
  <c r="C19" i="41"/>
  <c r="H18" i="41"/>
  <c r="G18" i="41"/>
  <c r="C18" i="41"/>
  <c r="H17" i="41"/>
  <c r="G17" i="41"/>
  <c r="I17" i="41" s="1"/>
  <c r="C17" i="41"/>
  <c r="I16" i="41"/>
  <c r="J16" i="41" s="1"/>
  <c r="H16" i="41"/>
  <c r="G16" i="41"/>
  <c r="C16" i="41"/>
  <c r="H15" i="41"/>
  <c r="G15" i="41"/>
  <c r="C15" i="41"/>
  <c r="H14" i="41"/>
  <c r="G14" i="41"/>
  <c r="I14" i="41" s="1"/>
  <c r="J14" i="41" s="1"/>
  <c r="C14" i="41"/>
  <c r="H13" i="41"/>
  <c r="I13" i="41" s="1"/>
  <c r="J13" i="41" s="1"/>
  <c r="G13" i="41"/>
  <c r="C13" i="41"/>
  <c r="H12" i="41"/>
  <c r="G12" i="41"/>
  <c r="I12" i="41" s="1"/>
  <c r="M12" i="41" s="1"/>
  <c r="C12" i="41"/>
  <c r="H10" i="41"/>
  <c r="G10" i="41"/>
  <c r="I10" i="41" s="1"/>
  <c r="J10" i="41" s="1"/>
  <c r="C10" i="41"/>
  <c r="H9" i="41"/>
  <c r="G9" i="41"/>
  <c r="C9" i="41"/>
  <c r="H8" i="41"/>
  <c r="G8" i="41"/>
  <c r="C8" i="41"/>
  <c r="H7" i="41"/>
  <c r="G7" i="41"/>
  <c r="I7" i="41" s="1"/>
  <c r="C7" i="41"/>
  <c r="H6" i="41"/>
  <c r="I6" i="41" s="1"/>
  <c r="G6" i="41"/>
  <c r="C6" i="41"/>
  <c r="H5" i="41"/>
  <c r="G5" i="41"/>
  <c r="C5" i="41"/>
  <c r="H4" i="41"/>
  <c r="G4" i="41"/>
  <c r="I4" i="41" s="1"/>
  <c r="J4" i="41" s="1"/>
  <c r="C4" i="41"/>
  <c r="H3" i="41"/>
  <c r="I3" i="41" s="1"/>
  <c r="M3" i="41" s="1"/>
  <c r="G3" i="41"/>
  <c r="C3" i="41"/>
  <c r="H2" i="41"/>
  <c r="G2" i="41"/>
  <c r="I2" i="41" s="1"/>
  <c r="J2" i="41" s="1"/>
  <c r="C2" i="41"/>
  <c r="J2" i="4"/>
  <c r="K20" i="42" l="1"/>
  <c r="L20" i="42" s="1"/>
  <c r="M20" i="42" s="1"/>
  <c r="K43" i="42"/>
  <c r="K10" i="42"/>
  <c r="K16" i="42"/>
  <c r="K13" i="42"/>
  <c r="N10" i="46"/>
  <c r="O10" i="46" s="1"/>
  <c r="D136" i="57" s="1"/>
  <c r="N4" i="46"/>
  <c r="O4" i="46" s="1"/>
  <c r="D130" i="57" s="1"/>
  <c r="N16" i="46"/>
  <c r="O16" i="46" s="1"/>
  <c r="D142" i="57" s="1"/>
  <c r="N7" i="46"/>
  <c r="O7" i="46" s="1"/>
  <c r="D133" i="57" s="1"/>
  <c r="N13" i="46"/>
  <c r="O13" i="46" s="1"/>
  <c r="D139" i="57" s="1"/>
  <c r="N23" i="4"/>
  <c r="N3" i="4"/>
  <c r="M28" i="49"/>
  <c r="M18" i="49"/>
  <c r="O18" i="49" s="1"/>
  <c r="D18" i="57" s="1"/>
  <c r="D9" i="50"/>
  <c r="AO9" i="50" s="1"/>
  <c r="I13" i="50"/>
  <c r="AK13" i="50" s="1"/>
  <c r="I24" i="50"/>
  <c r="AK24" i="50" s="1"/>
  <c r="I38" i="50"/>
  <c r="AK38" i="50" s="1"/>
  <c r="I48" i="50"/>
  <c r="AK48" i="50" s="1"/>
  <c r="I3" i="50"/>
  <c r="AK3" i="50" s="1"/>
  <c r="I22" i="50"/>
  <c r="AK22" i="50" s="1"/>
  <c r="D15" i="50"/>
  <c r="AO15" i="50" s="1"/>
  <c r="I5" i="50"/>
  <c r="AK5" i="50" s="1"/>
  <c r="I41" i="50"/>
  <c r="AK41" i="50" s="1"/>
  <c r="I37" i="50"/>
  <c r="AK37" i="50" s="1"/>
  <c r="D7" i="50"/>
  <c r="AO7" i="50" s="1"/>
  <c r="I31" i="50"/>
  <c r="AK31" i="50" s="1"/>
  <c r="I7" i="50"/>
  <c r="AK7" i="50" s="1"/>
  <c r="I21" i="50"/>
  <c r="AK21" i="50" s="1"/>
  <c r="I46" i="50"/>
  <c r="AK46" i="50" s="1"/>
  <c r="I14" i="50"/>
  <c r="AK14" i="50" s="1"/>
  <c r="I32" i="50"/>
  <c r="AK32" i="50" s="1"/>
  <c r="I9" i="50"/>
  <c r="AK9" i="50" s="1"/>
  <c r="I47" i="50"/>
  <c r="AK47" i="50" s="1"/>
  <c r="I28" i="50"/>
  <c r="AK28" i="50" s="1"/>
  <c r="I26" i="50"/>
  <c r="AK26" i="50" s="1"/>
  <c r="L43" i="46"/>
  <c r="P43" i="46" s="1"/>
  <c r="Q43" i="46" s="1"/>
  <c r="I12" i="50"/>
  <c r="AK12" i="50" s="1"/>
  <c r="I20" i="50"/>
  <c r="AK20" i="50" s="1"/>
  <c r="D32" i="50"/>
  <c r="AO32" i="50" s="1"/>
  <c r="I42" i="50"/>
  <c r="AK42" i="50" s="1"/>
  <c r="I15" i="50"/>
  <c r="AK15" i="50" s="1"/>
  <c r="I29" i="50"/>
  <c r="AK29" i="50" s="1"/>
  <c r="I6" i="50"/>
  <c r="AK6" i="50" s="1"/>
  <c r="T4" i="50"/>
  <c r="U4" i="50" s="1"/>
  <c r="V4" i="50" s="1"/>
  <c r="T11" i="50"/>
  <c r="U11" i="50" s="1"/>
  <c r="V11" i="50" s="1"/>
  <c r="J7" i="41"/>
  <c r="M7" i="41"/>
  <c r="O7" i="41" s="1"/>
  <c r="P7" i="41" s="1"/>
  <c r="K7" i="41" s="1"/>
  <c r="T2" i="50"/>
  <c r="U2" i="50" s="1"/>
  <c r="V2" i="50" s="1"/>
  <c r="X29" i="42"/>
  <c r="R30" i="50" s="1"/>
  <c r="L30" i="50"/>
  <c r="AN30" i="50" s="1"/>
  <c r="T43" i="50"/>
  <c r="U43" i="50" s="1"/>
  <c r="T36" i="50"/>
  <c r="U36" i="50" s="1"/>
  <c r="V36" i="50" s="1"/>
  <c r="T18" i="50"/>
  <c r="U18" i="50" s="1"/>
  <c r="V18" i="50" s="1"/>
  <c r="T44" i="50"/>
  <c r="U44" i="50" s="1"/>
  <c r="K31" i="42"/>
  <c r="L31" i="42" s="1"/>
  <c r="M31" i="42" s="1"/>
  <c r="K4" i="42"/>
  <c r="L4" i="42" s="1"/>
  <c r="M4" i="42" s="1"/>
  <c r="K21" i="42"/>
  <c r="L21" i="42" s="1"/>
  <c r="M21" i="42" s="1"/>
  <c r="X37" i="42"/>
  <c r="R39" i="50" s="1"/>
  <c r="L39" i="50"/>
  <c r="AN39" i="50" s="1"/>
  <c r="I25" i="41"/>
  <c r="I28" i="41"/>
  <c r="J28" i="41" s="1"/>
  <c r="X30" i="42"/>
  <c r="R37" i="50" s="1"/>
  <c r="L37" i="50"/>
  <c r="AN37" i="50" s="1"/>
  <c r="P39" i="49"/>
  <c r="Q39" i="49" s="1"/>
  <c r="N39" i="49" s="1"/>
  <c r="O39" i="49" s="1"/>
  <c r="D39" i="57" s="1"/>
  <c r="L14" i="49"/>
  <c r="K39" i="42"/>
  <c r="L39" i="42" s="1"/>
  <c r="M39" i="42" s="1"/>
  <c r="K6" i="42"/>
  <c r="L6" i="42" s="1"/>
  <c r="M6" i="42" s="1"/>
  <c r="K9" i="42"/>
  <c r="L9" i="42" s="1"/>
  <c r="M9" i="42" s="1"/>
  <c r="X36" i="42"/>
  <c r="R33" i="50" s="1"/>
  <c r="L33" i="50"/>
  <c r="AN33" i="50" s="1"/>
  <c r="T27" i="50"/>
  <c r="U27" i="50" s="1"/>
  <c r="Y27" i="50" s="1"/>
  <c r="K26" i="42"/>
  <c r="L26" i="42" s="1"/>
  <c r="P26" i="42" s="1"/>
  <c r="Q26" i="42" s="1"/>
  <c r="N26" i="42" s="1"/>
  <c r="X11" i="42"/>
  <c r="R10" i="50" s="1"/>
  <c r="L10" i="50"/>
  <c r="AN10" i="50" s="1"/>
  <c r="I5" i="41"/>
  <c r="J5" i="41" s="1"/>
  <c r="M13" i="41"/>
  <c r="O13" i="41" s="1"/>
  <c r="P13" i="41" s="1"/>
  <c r="K13" i="41" s="1"/>
  <c r="L13" i="41" s="1"/>
  <c r="I15" i="41"/>
  <c r="M15" i="41" s="1"/>
  <c r="I23" i="41"/>
  <c r="J23" i="41" s="1"/>
  <c r="K36" i="42"/>
  <c r="L36" i="42" s="1"/>
  <c r="K29" i="42"/>
  <c r="K37" i="42"/>
  <c r="K11" i="42"/>
  <c r="L11" i="42" s="1"/>
  <c r="T17" i="50"/>
  <c r="U17" i="50" s="1"/>
  <c r="T35" i="50"/>
  <c r="U35" i="50" s="1"/>
  <c r="T8" i="50"/>
  <c r="U8" i="50" s="1"/>
  <c r="T34" i="50"/>
  <c r="U34" i="50" s="1"/>
  <c r="K33" i="42"/>
  <c r="L33" i="42" s="1"/>
  <c r="M33" i="42" s="1"/>
  <c r="K28" i="42"/>
  <c r="L28" i="42" s="1"/>
  <c r="M28" i="42" s="1"/>
  <c r="K22" i="42"/>
  <c r="L22" i="42" s="1"/>
  <c r="M22" i="42" s="1"/>
  <c r="X14" i="42"/>
  <c r="R13" i="50" s="1"/>
  <c r="L13" i="50"/>
  <c r="AN13" i="50" s="1"/>
  <c r="X32" i="42"/>
  <c r="R24" i="50" s="1"/>
  <c r="L24" i="50"/>
  <c r="AN24" i="50" s="1"/>
  <c r="K12" i="42"/>
  <c r="L12" i="42" s="1"/>
  <c r="M12" i="42" s="1"/>
  <c r="K7" i="42"/>
  <c r="L7" i="42" s="1"/>
  <c r="M7" i="42" s="1"/>
  <c r="K19" i="42"/>
  <c r="L19" i="42" s="1"/>
  <c r="M19" i="42" s="1"/>
  <c r="M4" i="41"/>
  <c r="X42" i="42"/>
  <c r="R46" i="50" s="1"/>
  <c r="L46" i="50"/>
  <c r="AN46" i="50" s="1"/>
  <c r="T19" i="50"/>
  <c r="U19" i="50" s="1"/>
  <c r="V19" i="50" s="1"/>
  <c r="T40" i="50"/>
  <c r="U40" i="50" s="1"/>
  <c r="T45" i="50"/>
  <c r="U45" i="50" s="1"/>
  <c r="T25" i="50"/>
  <c r="U25" i="50" s="1"/>
  <c r="T16" i="50"/>
  <c r="U16" i="50" s="1"/>
  <c r="V16" i="50" s="1"/>
  <c r="K41" i="42"/>
  <c r="L41" i="42" s="1"/>
  <c r="M41" i="42" s="1"/>
  <c r="K34" i="42"/>
  <c r="L34" i="42" s="1"/>
  <c r="M34" i="42" s="1"/>
  <c r="K15" i="42"/>
  <c r="L15" i="42" s="1"/>
  <c r="M15" i="42" s="1"/>
  <c r="M22" i="41"/>
  <c r="N22" i="41" s="1"/>
  <c r="M16" i="41"/>
  <c r="O16" i="41" s="1"/>
  <c r="P16" i="41" s="1"/>
  <c r="K16" i="41" s="1"/>
  <c r="L16" i="41" s="1"/>
  <c r="X24" i="42"/>
  <c r="R22" i="50" s="1"/>
  <c r="L22" i="50"/>
  <c r="AN22" i="50" s="1"/>
  <c r="I8" i="41"/>
  <c r="X25" i="42"/>
  <c r="R26" i="50" s="1"/>
  <c r="L26" i="50"/>
  <c r="AN26" i="50" s="1"/>
  <c r="L5" i="42"/>
  <c r="K40" i="42"/>
  <c r="L40" i="42" s="1"/>
  <c r="M40" i="42" s="1"/>
  <c r="K3" i="42"/>
  <c r="L3" i="42" s="1"/>
  <c r="M3" i="42" s="1"/>
  <c r="K17" i="42"/>
  <c r="L17" i="42" s="1"/>
  <c r="P17" i="42" s="1"/>
  <c r="Q17" i="42" s="1"/>
  <c r="N17" i="42" s="1"/>
  <c r="K38" i="42"/>
  <c r="L38" i="42" s="1"/>
  <c r="M38" i="42" s="1"/>
  <c r="AT13" i="50"/>
  <c r="T9" i="50"/>
  <c r="U9" i="50" s="1"/>
  <c r="V9" i="50" s="1"/>
  <c r="AT9" i="50"/>
  <c r="AT24" i="50"/>
  <c r="T29" i="50"/>
  <c r="U29" i="50" s="1"/>
  <c r="Y29" i="50" s="1"/>
  <c r="AT29" i="50"/>
  <c r="T23" i="50"/>
  <c r="U23" i="50" s="1"/>
  <c r="V23" i="50" s="1"/>
  <c r="AT23" i="50"/>
  <c r="T12" i="50"/>
  <c r="U12" i="50" s="1"/>
  <c r="V12" i="50" s="1"/>
  <c r="AT12" i="50"/>
  <c r="T32" i="50"/>
  <c r="U32" i="50" s="1"/>
  <c r="V32" i="50" s="1"/>
  <c r="AT32" i="50"/>
  <c r="AT22" i="50"/>
  <c r="T7" i="50"/>
  <c r="U7" i="50" s="1"/>
  <c r="Y7" i="50" s="1"/>
  <c r="AT7" i="50"/>
  <c r="V27" i="50"/>
  <c r="AT33" i="50"/>
  <c r="T5" i="50"/>
  <c r="U5" i="50" s="1"/>
  <c r="V5" i="50" s="1"/>
  <c r="AT5" i="50"/>
  <c r="AT30" i="50"/>
  <c r="AT39" i="50"/>
  <c r="AT10" i="50"/>
  <c r="T6" i="50"/>
  <c r="U6" i="50" s="1"/>
  <c r="V6" i="50" s="1"/>
  <c r="AT6" i="50"/>
  <c r="T20" i="50"/>
  <c r="U20" i="50" s="1"/>
  <c r="V20" i="50" s="1"/>
  <c r="AT20" i="50"/>
  <c r="T48" i="50"/>
  <c r="U48" i="50" s="1"/>
  <c r="V48" i="50" s="1"/>
  <c r="AT48" i="50"/>
  <c r="T47" i="50"/>
  <c r="U47" i="50" s="1"/>
  <c r="Y47" i="50" s="1"/>
  <c r="AT47" i="50"/>
  <c r="T28" i="50"/>
  <c r="U28" i="50" s="1"/>
  <c r="V28" i="50" s="1"/>
  <c r="AT28" i="50"/>
  <c r="T41" i="50"/>
  <c r="U41" i="50" s="1"/>
  <c r="V41" i="50" s="1"/>
  <c r="AT41" i="50"/>
  <c r="T38" i="50"/>
  <c r="U38" i="50" s="1"/>
  <c r="V38" i="50" s="1"/>
  <c r="AT38" i="50"/>
  <c r="T21" i="50"/>
  <c r="U21" i="50" s="1"/>
  <c r="Y21" i="50" s="1"/>
  <c r="AT21" i="50"/>
  <c r="AT46" i="50"/>
  <c r="T42" i="50"/>
  <c r="U42" i="50" s="1"/>
  <c r="V42" i="50" s="1"/>
  <c r="AT42" i="50"/>
  <c r="T15" i="50"/>
  <c r="U15" i="50" s="1"/>
  <c r="Y15" i="50" s="1"/>
  <c r="AT15" i="50"/>
  <c r="AT26" i="50"/>
  <c r="T14" i="50"/>
  <c r="U14" i="50" s="1"/>
  <c r="Y14" i="50" s="1"/>
  <c r="AT14" i="50"/>
  <c r="T31" i="50"/>
  <c r="U31" i="50" s="1"/>
  <c r="V31" i="50" s="1"/>
  <c r="AT31" i="50"/>
  <c r="AT37" i="50"/>
  <c r="T3" i="50"/>
  <c r="U3" i="50" s="1"/>
  <c r="Y3" i="50" s="1"/>
  <c r="AT3" i="50"/>
  <c r="L8" i="42"/>
  <c r="M8" i="42" s="1"/>
  <c r="L8" i="49"/>
  <c r="M8" i="49" s="1"/>
  <c r="L41" i="49"/>
  <c r="L36" i="49"/>
  <c r="M12" i="49"/>
  <c r="O12" i="49" s="1"/>
  <c r="D12" i="57" s="1"/>
  <c r="P22" i="4"/>
  <c r="Q22" i="4" s="1"/>
  <c r="P22" i="49"/>
  <c r="Q22" i="49" s="1"/>
  <c r="N22" i="49" s="1"/>
  <c r="O22" i="49" s="1"/>
  <c r="D22" i="57" s="1"/>
  <c r="M23" i="4"/>
  <c r="O23" i="4" s="1"/>
  <c r="D65" i="57" s="1"/>
  <c r="L42" i="4"/>
  <c r="L37" i="4"/>
  <c r="M29" i="49"/>
  <c r="D29" i="50"/>
  <c r="AO29" i="50" s="1"/>
  <c r="L24" i="4"/>
  <c r="P32" i="49"/>
  <c r="Q32" i="49" s="1"/>
  <c r="N32" i="49" s="1"/>
  <c r="O32" i="49" s="1"/>
  <c r="D32" i="57" s="1"/>
  <c r="M3" i="4"/>
  <c r="O3" i="4" s="1"/>
  <c r="D45" i="57" s="1"/>
  <c r="L41" i="4"/>
  <c r="M41" i="4" s="1"/>
  <c r="L29" i="4"/>
  <c r="L19" i="46"/>
  <c r="I23" i="50"/>
  <c r="AK23" i="50" s="1"/>
  <c r="L18" i="4"/>
  <c r="L17" i="49"/>
  <c r="X2" i="4"/>
  <c r="K2" i="4"/>
  <c r="L2" i="4" s="1"/>
  <c r="M2" i="4" s="1"/>
  <c r="X18" i="42"/>
  <c r="R19" i="50" s="1"/>
  <c r="K18" i="42"/>
  <c r="L18" i="42" s="1"/>
  <c r="X31" i="46"/>
  <c r="R43" i="50" s="1"/>
  <c r="K31" i="46"/>
  <c r="X5" i="46"/>
  <c r="R4" i="50" s="1"/>
  <c r="K5" i="46"/>
  <c r="X15" i="46"/>
  <c r="R16" i="50" s="1"/>
  <c r="K15" i="46"/>
  <c r="X24" i="46"/>
  <c r="K24" i="46"/>
  <c r="L24" i="46" s="1"/>
  <c r="M24" i="46" s="1"/>
  <c r="X32" i="46"/>
  <c r="R25" i="50" s="1"/>
  <c r="K32" i="46"/>
  <c r="X40" i="46"/>
  <c r="K40" i="46"/>
  <c r="L40" i="46" s="1"/>
  <c r="M40" i="46" s="1"/>
  <c r="X6" i="46"/>
  <c r="K6" i="46"/>
  <c r="L6" i="46" s="1"/>
  <c r="M6" i="46" s="1"/>
  <c r="X25" i="46"/>
  <c r="R27" i="50" s="1"/>
  <c r="K25" i="46"/>
  <c r="X33" i="46"/>
  <c r="R34" i="50" s="1"/>
  <c r="K33" i="46"/>
  <c r="X41" i="46"/>
  <c r="K41" i="46"/>
  <c r="L41" i="46" s="1"/>
  <c r="M41" i="46" s="1"/>
  <c r="X22" i="46"/>
  <c r="K22" i="46"/>
  <c r="L22" i="46" s="1"/>
  <c r="M22" i="46" s="1"/>
  <c r="X8" i="46"/>
  <c r="K8" i="46"/>
  <c r="L8" i="46" s="1"/>
  <c r="P8" i="46" s="1"/>
  <c r="Q8" i="46" s="1"/>
  <c r="X34" i="46"/>
  <c r="K34" i="46"/>
  <c r="L34" i="46" s="1"/>
  <c r="M34" i="46" s="1"/>
  <c r="X42" i="46"/>
  <c r="R45" i="50" s="1"/>
  <c r="K42" i="46"/>
  <c r="X3" i="46"/>
  <c r="K3" i="46"/>
  <c r="L3" i="46" s="1"/>
  <c r="M3" i="46" s="1"/>
  <c r="X9" i="46"/>
  <c r="R8" i="50" s="1"/>
  <c r="K9" i="46"/>
  <c r="X18" i="46"/>
  <c r="R18" i="50" s="1"/>
  <c r="K18" i="46"/>
  <c r="X27" i="46"/>
  <c r="K27" i="46"/>
  <c r="L27" i="46" s="1"/>
  <c r="M27" i="46" s="1"/>
  <c r="X35" i="46"/>
  <c r="K35" i="46"/>
  <c r="L35" i="46" s="1"/>
  <c r="P35" i="46" s="1"/>
  <c r="Q35" i="46" s="1"/>
  <c r="X14" i="46"/>
  <c r="K14" i="46"/>
  <c r="L14" i="46" s="1"/>
  <c r="M14" i="46" s="1"/>
  <c r="X28" i="46"/>
  <c r="K28" i="46"/>
  <c r="L28" i="46" s="1"/>
  <c r="M28" i="46" s="1"/>
  <c r="X36" i="46"/>
  <c r="K36" i="46"/>
  <c r="L36" i="46" s="1"/>
  <c r="M36" i="46" s="1"/>
  <c r="X39" i="46"/>
  <c r="K39" i="46"/>
  <c r="L39" i="46" s="1"/>
  <c r="M39" i="46" s="1"/>
  <c r="X17" i="46"/>
  <c r="K17" i="46"/>
  <c r="L17" i="46" s="1"/>
  <c r="P17" i="46" s="1"/>
  <c r="Q17" i="46" s="1"/>
  <c r="X11" i="46"/>
  <c r="R11" i="50" s="1"/>
  <c r="K11" i="46"/>
  <c r="X12" i="46"/>
  <c r="K12" i="46"/>
  <c r="L12" i="46" s="1"/>
  <c r="M12" i="46" s="1"/>
  <c r="X20" i="46"/>
  <c r="R17" i="50" s="1"/>
  <c r="K20" i="46"/>
  <c r="X29" i="46"/>
  <c r="K29" i="46"/>
  <c r="L29" i="46" s="1"/>
  <c r="M29" i="46" s="1"/>
  <c r="X37" i="46"/>
  <c r="R40" i="50" s="1"/>
  <c r="K37" i="46"/>
  <c r="X26" i="46"/>
  <c r="R35" i="50" s="1"/>
  <c r="K26" i="46"/>
  <c r="X2" i="46"/>
  <c r="R2" i="50" s="1"/>
  <c r="K2" i="46"/>
  <c r="X21" i="46"/>
  <c r="K21" i="46"/>
  <c r="L21" i="46" s="1"/>
  <c r="M21" i="46" s="1"/>
  <c r="X30" i="46"/>
  <c r="R36" i="50" s="1"/>
  <c r="K30" i="46"/>
  <c r="X38" i="46"/>
  <c r="R44" i="50" s="1"/>
  <c r="K38" i="46"/>
  <c r="P35" i="42"/>
  <c r="Q35" i="42" s="1"/>
  <c r="N35" i="42" s="1"/>
  <c r="O35" i="42" s="1"/>
  <c r="D119" i="57" s="1"/>
  <c r="P29" i="49"/>
  <c r="Q29" i="49" s="1"/>
  <c r="N29" i="49" s="1"/>
  <c r="M33" i="49"/>
  <c r="O33" i="49" s="1"/>
  <c r="D33" i="57" s="1"/>
  <c r="P23" i="46"/>
  <c r="Q23" i="46" s="1"/>
  <c r="M25" i="4"/>
  <c r="P25" i="4"/>
  <c r="Q25" i="4" s="1"/>
  <c r="P36" i="4"/>
  <c r="Q36" i="4" s="1"/>
  <c r="M36" i="4"/>
  <c r="P31" i="49"/>
  <c r="Q31" i="49" s="1"/>
  <c r="N31" i="49" s="1"/>
  <c r="M31" i="49"/>
  <c r="M5" i="4"/>
  <c r="P5" i="4"/>
  <c r="Q5" i="4" s="1"/>
  <c r="M23" i="42"/>
  <c r="P23" i="42"/>
  <c r="Q23" i="42" s="1"/>
  <c r="N23" i="42" s="1"/>
  <c r="M30" i="4"/>
  <c r="P30" i="4"/>
  <c r="Q30" i="4" s="1"/>
  <c r="P33" i="4"/>
  <c r="Q33" i="4" s="1"/>
  <c r="M33" i="4"/>
  <c r="P2" i="42"/>
  <c r="Q2" i="42" s="1"/>
  <c r="N2" i="42" s="1"/>
  <c r="M2" i="42"/>
  <c r="P40" i="4"/>
  <c r="Q40" i="4" s="1"/>
  <c r="M40" i="4"/>
  <c r="M15" i="4"/>
  <c r="P15" i="4"/>
  <c r="Q15" i="4" s="1"/>
  <c r="M16" i="4"/>
  <c r="P16" i="4"/>
  <c r="Q16" i="4" s="1"/>
  <c r="M23" i="49"/>
  <c r="P23" i="49"/>
  <c r="Q23" i="49" s="1"/>
  <c r="N23" i="49" s="1"/>
  <c r="M2" i="49"/>
  <c r="P2" i="49"/>
  <c r="Q2" i="49" s="1"/>
  <c r="N2" i="49" s="1"/>
  <c r="M10" i="49"/>
  <c r="P10" i="49"/>
  <c r="Q10" i="49" s="1"/>
  <c r="N10" i="49" s="1"/>
  <c r="P37" i="49"/>
  <c r="Q37" i="49" s="1"/>
  <c r="N37" i="49" s="1"/>
  <c r="M37" i="49"/>
  <c r="M7" i="49"/>
  <c r="P7" i="49"/>
  <c r="Q7" i="49" s="1"/>
  <c r="N7" i="49" s="1"/>
  <c r="M30" i="49"/>
  <c r="P30" i="49"/>
  <c r="Q30" i="49" s="1"/>
  <c r="N30" i="49" s="1"/>
  <c r="M15" i="49"/>
  <c r="P15" i="49"/>
  <c r="Q15" i="49" s="1"/>
  <c r="N15" i="49" s="1"/>
  <c r="P11" i="4"/>
  <c r="Q11" i="4" s="1"/>
  <c r="M11" i="4"/>
  <c r="P19" i="49"/>
  <c r="Q19" i="49" s="1"/>
  <c r="N19" i="49" s="1"/>
  <c r="M19" i="49"/>
  <c r="P39" i="4"/>
  <c r="Q39" i="4" s="1"/>
  <c r="M32" i="4"/>
  <c r="P32" i="4"/>
  <c r="Q32" i="4" s="1"/>
  <c r="M5" i="49"/>
  <c r="P5" i="49"/>
  <c r="Q5" i="49" s="1"/>
  <c r="N5" i="49" s="1"/>
  <c r="M3" i="49"/>
  <c r="P3" i="49"/>
  <c r="Q3" i="49" s="1"/>
  <c r="N3" i="49" s="1"/>
  <c r="M43" i="4"/>
  <c r="P43" i="4"/>
  <c r="Q43" i="4" s="1"/>
  <c r="M6" i="4"/>
  <c r="P6" i="4"/>
  <c r="Q6" i="4" s="1"/>
  <c r="M24" i="49"/>
  <c r="P24" i="49"/>
  <c r="Q24" i="49" s="1"/>
  <c r="N24" i="49" s="1"/>
  <c r="M35" i="4"/>
  <c r="P35" i="4"/>
  <c r="Q35" i="4" s="1"/>
  <c r="M21" i="4"/>
  <c r="P21" i="4"/>
  <c r="Q21" i="4" s="1"/>
  <c r="M26" i="49"/>
  <c r="P26" i="49"/>
  <c r="Q26" i="49" s="1"/>
  <c r="N26" i="49" s="1"/>
  <c r="M40" i="49"/>
  <c r="P40" i="49"/>
  <c r="Q40" i="49" s="1"/>
  <c r="N40" i="49" s="1"/>
  <c r="P13" i="49"/>
  <c r="Q13" i="49" s="1"/>
  <c r="N13" i="49" s="1"/>
  <c r="O13" i="49" s="1"/>
  <c r="D13" i="57" s="1"/>
  <c r="M26" i="4"/>
  <c r="P26" i="4"/>
  <c r="Q26" i="4" s="1"/>
  <c r="M34" i="49"/>
  <c r="P34" i="49"/>
  <c r="Q34" i="49" s="1"/>
  <c r="N34" i="49" s="1"/>
  <c r="M9" i="49"/>
  <c r="P9" i="49"/>
  <c r="Q9" i="49" s="1"/>
  <c r="N9" i="49" s="1"/>
  <c r="M43" i="49"/>
  <c r="P43" i="49"/>
  <c r="Q43" i="49" s="1"/>
  <c r="N43" i="49" s="1"/>
  <c r="M20" i="4"/>
  <c r="P20" i="4"/>
  <c r="Q20" i="4" s="1"/>
  <c r="M31" i="4"/>
  <c r="P31" i="4"/>
  <c r="Q31" i="4" s="1"/>
  <c r="M6" i="49"/>
  <c r="P6" i="49"/>
  <c r="Q6" i="49" s="1"/>
  <c r="N6" i="49" s="1"/>
  <c r="P27" i="4"/>
  <c r="Q27" i="4" s="1"/>
  <c r="M27" i="4"/>
  <c r="M21" i="49"/>
  <c r="P21" i="49"/>
  <c r="Q21" i="49" s="1"/>
  <c r="N21" i="49" s="1"/>
  <c r="M7" i="4"/>
  <c r="P7" i="4"/>
  <c r="Q7" i="4" s="1"/>
  <c r="M13" i="4"/>
  <c r="P13" i="4"/>
  <c r="Q13" i="4" s="1"/>
  <c r="M4" i="4"/>
  <c r="P4" i="4"/>
  <c r="Q4" i="4" s="1"/>
  <c r="M16" i="49"/>
  <c r="P16" i="49"/>
  <c r="Q16" i="49" s="1"/>
  <c r="N16" i="49" s="1"/>
  <c r="M19" i="4"/>
  <c r="P19" i="4"/>
  <c r="Q19" i="4" s="1"/>
  <c r="M8" i="4"/>
  <c r="P8" i="4"/>
  <c r="Q8" i="4" s="1"/>
  <c r="P10" i="4"/>
  <c r="Q10" i="4" s="1"/>
  <c r="M10" i="4"/>
  <c r="M25" i="49"/>
  <c r="P25" i="49"/>
  <c r="Q25" i="49" s="1"/>
  <c r="N25" i="49" s="1"/>
  <c r="M9" i="4"/>
  <c r="P9" i="4"/>
  <c r="Q9" i="4" s="1"/>
  <c r="M27" i="49"/>
  <c r="P27" i="49"/>
  <c r="Q27" i="49" s="1"/>
  <c r="N27" i="49" s="1"/>
  <c r="M35" i="49"/>
  <c r="P35" i="49"/>
  <c r="Q35" i="49" s="1"/>
  <c r="N35" i="49" s="1"/>
  <c r="M28" i="4"/>
  <c r="P28" i="4"/>
  <c r="Q28" i="4" s="1"/>
  <c r="M34" i="4"/>
  <c r="P34" i="4"/>
  <c r="Q34" i="4" s="1"/>
  <c r="M38" i="49"/>
  <c r="P38" i="49"/>
  <c r="Q38" i="49" s="1"/>
  <c r="N38" i="49" s="1"/>
  <c r="M38" i="4"/>
  <c r="P38" i="4"/>
  <c r="Q38" i="4" s="1"/>
  <c r="M20" i="49"/>
  <c r="P20" i="49"/>
  <c r="Q20" i="49" s="1"/>
  <c r="N20" i="49" s="1"/>
  <c r="M11" i="49"/>
  <c r="P11" i="49"/>
  <c r="Q11" i="49" s="1"/>
  <c r="N11" i="49" s="1"/>
  <c r="M17" i="4"/>
  <c r="P17" i="4"/>
  <c r="Q17" i="4" s="1"/>
  <c r="M14" i="4"/>
  <c r="P14" i="4"/>
  <c r="Q14" i="4" s="1"/>
  <c r="M42" i="49"/>
  <c r="P42" i="49"/>
  <c r="Q42" i="49" s="1"/>
  <c r="N42" i="49" s="1"/>
  <c r="P8" i="49"/>
  <c r="Q8" i="49" s="1"/>
  <c r="N8" i="49" s="1"/>
  <c r="P12" i="4"/>
  <c r="Q12" i="4" s="1"/>
  <c r="M12" i="4"/>
  <c r="M4" i="49"/>
  <c r="P4" i="49"/>
  <c r="Q4" i="49" s="1"/>
  <c r="N4" i="49" s="1"/>
  <c r="O28" i="49"/>
  <c r="D28" i="57" s="1"/>
  <c r="M27" i="42"/>
  <c r="L16" i="42"/>
  <c r="P16" i="42" s="1"/>
  <c r="Q16" i="42" s="1"/>
  <c r="N16" i="42" s="1"/>
  <c r="L24" i="42"/>
  <c r="L42" i="42"/>
  <c r="L13" i="42"/>
  <c r="M13" i="42" s="1"/>
  <c r="L30" i="42"/>
  <c r="L14" i="42"/>
  <c r="N27" i="42"/>
  <c r="L10" i="42"/>
  <c r="M10" i="42" s="1"/>
  <c r="L25" i="42"/>
  <c r="L32" i="42"/>
  <c r="L43" i="42"/>
  <c r="M43" i="42" s="1"/>
  <c r="O12" i="41"/>
  <c r="P12" i="41" s="1"/>
  <c r="K12" i="41" s="1"/>
  <c r="N12" i="41"/>
  <c r="M17" i="41"/>
  <c r="J17" i="41"/>
  <c r="J25" i="41"/>
  <c r="M25" i="41"/>
  <c r="M26" i="41"/>
  <c r="J26" i="41"/>
  <c r="O3" i="41"/>
  <c r="P3" i="41" s="1"/>
  <c r="K3" i="41" s="1"/>
  <c r="N3" i="41"/>
  <c r="O20" i="41"/>
  <c r="P20" i="41" s="1"/>
  <c r="K20" i="41" s="1"/>
  <c r="N20" i="41"/>
  <c r="L7" i="41"/>
  <c r="M8" i="41"/>
  <c r="J8" i="41"/>
  <c r="O4" i="41"/>
  <c r="P4" i="41" s="1"/>
  <c r="K4" i="41" s="1"/>
  <c r="L4" i="41" s="1"/>
  <c r="N4" i="41"/>
  <c r="M6" i="41"/>
  <c r="J6" i="41"/>
  <c r="M24" i="41"/>
  <c r="J24" i="41"/>
  <c r="O29" i="41"/>
  <c r="P29" i="41" s="1"/>
  <c r="K29" i="41" s="1"/>
  <c r="N29" i="41"/>
  <c r="M2" i="41"/>
  <c r="N7" i="41"/>
  <c r="M10" i="41"/>
  <c r="J12" i="41"/>
  <c r="L12" i="41" s="1"/>
  <c r="M19" i="41"/>
  <c r="J20" i="41"/>
  <c r="M28" i="41"/>
  <c r="J29" i="41"/>
  <c r="J3" i="41"/>
  <c r="I9" i="41"/>
  <c r="J9" i="41" s="1"/>
  <c r="M14" i="41"/>
  <c r="I18" i="41"/>
  <c r="J18" i="41" s="1"/>
  <c r="M23" i="41"/>
  <c r="I27" i="41"/>
  <c r="J27" i="41" s="1"/>
  <c r="I30" i="41"/>
  <c r="J30" i="41" s="1"/>
  <c r="X9" i="50" l="1"/>
  <c r="S9" i="50"/>
  <c r="H130" i="57"/>
  <c r="C130" i="57"/>
  <c r="E130" i="57"/>
  <c r="F130" i="57"/>
  <c r="G130" i="57"/>
  <c r="I130" i="57"/>
  <c r="J130" i="57"/>
  <c r="A130" i="57"/>
  <c r="H136" i="57"/>
  <c r="I136" i="57"/>
  <c r="J136" i="57"/>
  <c r="G136" i="57"/>
  <c r="A136" i="57"/>
  <c r="C136" i="57"/>
  <c r="E136" i="57"/>
  <c r="F136" i="57"/>
  <c r="H142" i="57"/>
  <c r="C142" i="57"/>
  <c r="A142" i="57"/>
  <c r="E142" i="57"/>
  <c r="F142" i="57"/>
  <c r="G142" i="57"/>
  <c r="I142" i="57"/>
  <c r="J142" i="57"/>
  <c r="H133" i="57"/>
  <c r="F133" i="57"/>
  <c r="E133" i="57"/>
  <c r="G133" i="57"/>
  <c r="I133" i="57"/>
  <c r="J133" i="57"/>
  <c r="A133" i="57"/>
  <c r="C133" i="57"/>
  <c r="H139" i="57"/>
  <c r="A139" i="57"/>
  <c r="C139" i="57"/>
  <c r="E139" i="57"/>
  <c r="F139" i="57"/>
  <c r="G139" i="57"/>
  <c r="J139" i="57"/>
  <c r="I139" i="57"/>
  <c r="H119" i="57"/>
  <c r="C119" i="57"/>
  <c r="E119" i="57"/>
  <c r="F119" i="57"/>
  <c r="G119" i="57"/>
  <c r="I119" i="57"/>
  <c r="J119" i="57"/>
  <c r="A119" i="57"/>
  <c r="H45" i="57"/>
  <c r="C45" i="57"/>
  <c r="E45" i="57"/>
  <c r="F45" i="57"/>
  <c r="G45" i="57"/>
  <c r="I45" i="57"/>
  <c r="J45" i="57"/>
  <c r="A45" i="57"/>
  <c r="H65" i="57"/>
  <c r="C65" i="57"/>
  <c r="E65" i="57"/>
  <c r="F65" i="57"/>
  <c r="G65" i="57"/>
  <c r="I65" i="57"/>
  <c r="J65" i="57"/>
  <c r="A65" i="57"/>
  <c r="H32" i="57"/>
  <c r="C32" i="57"/>
  <c r="E32" i="57"/>
  <c r="F32" i="57"/>
  <c r="G32" i="57"/>
  <c r="I32" i="57"/>
  <c r="J32" i="57"/>
  <c r="A32" i="57"/>
  <c r="H12" i="57"/>
  <c r="A12" i="57"/>
  <c r="C12" i="57"/>
  <c r="E12" i="57"/>
  <c r="F12" i="57"/>
  <c r="G12" i="57"/>
  <c r="I12" i="57"/>
  <c r="J12" i="57"/>
  <c r="H13" i="57"/>
  <c r="C13" i="57"/>
  <c r="E13" i="57"/>
  <c r="F13" i="57"/>
  <c r="G13" i="57"/>
  <c r="I13" i="57"/>
  <c r="J13" i="57"/>
  <c r="A13" i="57"/>
  <c r="H39" i="57"/>
  <c r="A39" i="57"/>
  <c r="C39" i="57"/>
  <c r="E39" i="57"/>
  <c r="F39" i="57"/>
  <c r="G39" i="57"/>
  <c r="I39" i="57"/>
  <c r="J39" i="57"/>
  <c r="H18" i="57"/>
  <c r="G18" i="57"/>
  <c r="I18" i="57"/>
  <c r="J18" i="57"/>
  <c r="A18" i="57"/>
  <c r="C18" i="57"/>
  <c r="E18" i="57"/>
  <c r="F18" i="57"/>
  <c r="H22" i="57"/>
  <c r="A22" i="57"/>
  <c r="C22" i="57"/>
  <c r="E22" i="57"/>
  <c r="F22" i="57"/>
  <c r="G22" i="57"/>
  <c r="I22" i="57"/>
  <c r="J22" i="57"/>
  <c r="H28" i="57"/>
  <c r="J28" i="57"/>
  <c r="A28" i="57"/>
  <c r="C28" i="57"/>
  <c r="E28" i="57"/>
  <c r="F28" i="57"/>
  <c r="G28" i="57"/>
  <c r="I28" i="57"/>
  <c r="H33" i="57"/>
  <c r="E33" i="57"/>
  <c r="F33" i="57"/>
  <c r="G33" i="57"/>
  <c r="I33" i="57"/>
  <c r="J33" i="57"/>
  <c r="A33" i="57"/>
  <c r="C33" i="57"/>
  <c r="Y11" i="50"/>
  <c r="AC11" i="50" s="1"/>
  <c r="P8" i="42"/>
  <c r="Q8" i="42" s="1"/>
  <c r="N8" i="42" s="1"/>
  <c r="T37" i="50"/>
  <c r="U37" i="50" s="1"/>
  <c r="Y37" i="50" s="1"/>
  <c r="T33" i="50"/>
  <c r="U33" i="50" s="1"/>
  <c r="Y33" i="50" s="1"/>
  <c r="N43" i="46"/>
  <c r="N17" i="46"/>
  <c r="N8" i="46"/>
  <c r="N35" i="46"/>
  <c r="N23" i="46"/>
  <c r="O23" i="46" s="1"/>
  <c r="D149" i="57" s="1"/>
  <c r="P41" i="4"/>
  <c r="Q41" i="4" s="1"/>
  <c r="N41" i="4" s="1"/>
  <c r="O41" i="4" s="1"/>
  <c r="D83" i="57" s="1"/>
  <c r="N14" i="4"/>
  <c r="N38" i="4"/>
  <c r="N28" i="4"/>
  <c r="O28" i="4" s="1"/>
  <c r="D70" i="57" s="1"/>
  <c r="N7" i="4"/>
  <c r="O7" i="4" s="1"/>
  <c r="D49" i="57" s="1"/>
  <c r="N31" i="4"/>
  <c r="O31" i="4" s="1"/>
  <c r="D73" i="57" s="1"/>
  <c r="N25" i="4"/>
  <c r="O25" i="4" s="1"/>
  <c r="D67" i="57" s="1"/>
  <c r="N21" i="4"/>
  <c r="N43" i="4"/>
  <c r="O43" i="4" s="1"/>
  <c r="D85" i="57" s="1"/>
  <c r="N39" i="4"/>
  <c r="O39" i="4" s="1"/>
  <c r="D81" i="57" s="1"/>
  <c r="N40" i="4"/>
  <c r="O40" i="4" s="1"/>
  <c r="D82" i="57" s="1"/>
  <c r="N32" i="4"/>
  <c r="O32" i="4" s="1"/>
  <c r="D74" i="57" s="1"/>
  <c r="N4" i="4"/>
  <c r="O4" i="4" s="1"/>
  <c r="D46" i="57" s="1"/>
  <c r="N20" i="4"/>
  <c r="O20" i="4" s="1"/>
  <c r="D62" i="57" s="1"/>
  <c r="N26" i="4"/>
  <c r="O26" i="4" s="1"/>
  <c r="D68" i="57" s="1"/>
  <c r="N5" i="4"/>
  <c r="O5" i="4" s="1"/>
  <c r="D47" i="57" s="1"/>
  <c r="N35" i="4"/>
  <c r="O35" i="4" s="1"/>
  <c r="D77" i="57" s="1"/>
  <c r="N16" i="4"/>
  <c r="O16" i="4" s="1"/>
  <c r="D58" i="57" s="1"/>
  <c r="N6" i="4"/>
  <c r="O6" i="4" s="1"/>
  <c r="D48" i="57" s="1"/>
  <c r="N12" i="4"/>
  <c r="O12" i="4" s="1"/>
  <c r="D54" i="57" s="1"/>
  <c r="N27" i="4"/>
  <c r="O27" i="4" s="1"/>
  <c r="D69" i="57" s="1"/>
  <c r="N11" i="4"/>
  <c r="O11" i="4" s="1"/>
  <c r="D53" i="57" s="1"/>
  <c r="N33" i="4"/>
  <c r="N22" i="4"/>
  <c r="O22" i="4" s="1"/>
  <c r="D64" i="57" s="1"/>
  <c r="N36" i="4"/>
  <c r="O36" i="4" s="1"/>
  <c r="D78" i="57" s="1"/>
  <c r="N17" i="4"/>
  <c r="O17" i="4" s="1"/>
  <c r="D59" i="57" s="1"/>
  <c r="N10" i="4"/>
  <c r="O10" i="4" s="1"/>
  <c r="D52" i="57" s="1"/>
  <c r="N8" i="4"/>
  <c r="O8" i="4" s="1"/>
  <c r="D50" i="57" s="1"/>
  <c r="N34" i="4"/>
  <c r="O34" i="4" s="1"/>
  <c r="D76" i="57" s="1"/>
  <c r="N9" i="4"/>
  <c r="O9" i="4" s="1"/>
  <c r="D51" i="57" s="1"/>
  <c r="N19" i="4"/>
  <c r="N13" i="4"/>
  <c r="O13" i="4" s="1"/>
  <c r="D55" i="57" s="1"/>
  <c r="N15" i="4"/>
  <c r="O15" i="4" s="1"/>
  <c r="D57" i="57" s="1"/>
  <c r="N30" i="4"/>
  <c r="O37" i="49"/>
  <c r="D37" i="57" s="1"/>
  <c r="O3" i="49"/>
  <c r="D3" i="57" s="1"/>
  <c r="V14" i="50"/>
  <c r="AC14" i="50" s="1"/>
  <c r="O40" i="49"/>
  <c r="D40" i="57" s="1"/>
  <c r="O26" i="49"/>
  <c r="D26" i="57" s="1"/>
  <c r="O23" i="42"/>
  <c r="D107" i="57" s="1"/>
  <c r="O29" i="49"/>
  <c r="D29" i="57" s="1"/>
  <c r="X7" i="50"/>
  <c r="O24" i="49"/>
  <c r="D24" i="57" s="1"/>
  <c r="S7" i="50"/>
  <c r="S15" i="50"/>
  <c r="M43" i="46"/>
  <c r="Y4" i="50"/>
  <c r="AC4" i="50" s="1"/>
  <c r="O9" i="49"/>
  <c r="D9" i="57" s="1"/>
  <c r="O31" i="49"/>
  <c r="D31" i="57" s="1"/>
  <c r="I39" i="50"/>
  <c r="AK39" i="50" s="1"/>
  <c r="O15" i="49"/>
  <c r="D15" i="57" s="1"/>
  <c r="D28" i="50"/>
  <c r="AO28" i="50" s="1"/>
  <c r="S32" i="50"/>
  <c r="I33" i="50"/>
  <c r="AK33" i="50" s="1"/>
  <c r="I34" i="50"/>
  <c r="AK34" i="50" s="1"/>
  <c r="I43" i="50"/>
  <c r="AK43" i="50" s="1"/>
  <c r="D38" i="50"/>
  <c r="AO38" i="50" s="1"/>
  <c r="D41" i="50"/>
  <c r="AO41" i="50" s="1"/>
  <c r="Y2" i="50"/>
  <c r="D12" i="50"/>
  <c r="D14" i="50"/>
  <c r="AO14" i="50" s="1"/>
  <c r="X32" i="50"/>
  <c r="I30" i="50"/>
  <c r="AK30" i="50" s="1"/>
  <c r="L37" i="42"/>
  <c r="P37" i="42" s="1"/>
  <c r="Q37" i="42" s="1"/>
  <c r="N37" i="42" s="1"/>
  <c r="I19" i="50"/>
  <c r="AK19" i="50" s="1"/>
  <c r="D31" i="50"/>
  <c r="AO31" i="50" s="1"/>
  <c r="D47" i="50"/>
  <c r="AO47" i="50" s="1"/>
  <c r="D5" i="50"/>
  <c r="AO5" i="50" s="1"/>
  <c r="Y16" i="50"/>
  <c r="AC16" i="50" s="1"/>
  <c r="O21" i="49"/>
  <c r="D21" i="57" s="1"/>
  <c r="L29" i="42"/>
  <c r="P29" i="42" s="1"/>
  <c r="Q29" i="42" s="1"/>
  <c r="N29" i="42" s="1"/>
  <c r="O20" i="49"/>
  <c r="D20" i="57" s="1"/>
  <c r="D42" i="50"/>
  <c r="AO42" i="50" s="1"/>
  <c r="D6" i="50"/>
  <c r="AO6" i="50" s="1"/>
  <c r="M5" i="42"/>
  <c r="D21" i="50"/>
  <c r="AO21" i="50" s="1"/>
  <c r="P14" i="49"/>
  <c r="Q14" i="49" s="1"/>
  <c r="N14" i="49" s="1"/>
  <c r="M14" i="49"/>
  <c r="I2" i="50"/>
  <c r="AK2" i="50" s="1"/>
  <c r="X15" i="50"/>
  <c r="I10" i="50"/>
  <c r="AK10" i="50" s="1"/>
  <c r="D48" i="50"/>
  <c r="T10" i="50"/>
  <c r="U10" i="50" s="1"/>
  <c r="V10" i="50" s="1"/>
  <c r="T22" i="50"/>
  <c r="U22" i="50" s="1"/>
  <c r="V8" i="50"/>
  <c r="Y8" i="50"/>
  <c r="Y12" i="50"/>
  <c r="AC12" i="50" s="1"/>
  <c r="V17" i="50"/>
  <c r="Y17" i="50"/>
  <c r="V43" i="50"/>
  <c r="Y43" i="50"/>
  <c r="Y18" i="50"/>
  <c r="AC18" i="50" s="1"/>
  <c r="Y9" i="50"/>
  <c r="AC9" i="50" s="1"/>
  <c r="T13" i="50"/>
  <c r="U13" i="50" s="1"/>
  <c r="V13" i="50" s="1"/>
  <c r="V15" i="50"/>
  <c r="AC15" i="50" s="1"/>
  <c r="N16" i="41"/>
  <c r="J15" i="41"/>
  <c r="Y23" i="50"/>
  <c r="AC23" i="50" s="1"/>
  <c r="Y36" i="50"/>
  <c r="AC36" i="50" s="1"/>
  <c r="M9" i="41"/>
  <c r="D3" i="50"/>
  <c r="AO3" i="50" s="1"/>
  <c r="T46" i="50"/>
  <c r="U46" i="50" s="1"/>
  <c r="T39" i="50"/>
  <c r="U39" i="50" s="1"/>
  <c r="Y19" i="50"/>
  <c r="AC19" i="50" s="1"/>
  <c r="V40" i="50"/>
  <c r="Y40" i="50"/>
  <c r="L20" i="41"/>
  <c r="O22" i="41"/>
  <c r="P22" i="41" s="1"/>
  <c r="K22" i="41" s="1"/>
  <c r="L22" i="41" s="1"/>
  <c r="M5" i="41"/>
  <c r="L3" i="41"/>
  <c r="N13" i="41"/>
  <c r="P41" i="49"/>
  <c r="Q41" i="49" s="1"/>
  <c r="N41" i="49" s="1"/>
  <c r="M42" i="4"/>
  <c r="P5" i="42"/>
  <c r="Q5" i="42" s="1"/>
  <c r="N5" i="42" s="1"/>
  <c r="Y5" i="50"/>
  <c r="AC5" i="50" s="1"/>
  <c r="V29" i="50"/>
  <c r="AC29" i="50" s="1"/>
  <c r="V25" i="50"/>
  <c r="Y25" i="50"/>
  <c r="V35" i="50"/>
  <c r="Y35" i="50"/>
  <c r="O43" i="49"/>
  <c r="D43" i="57" s="1"/>
  <c r="L29" i="41"/>
  <c r="M41" i="49"/>
  <c r="P42" i="4"/>
  <c r="Q42" i="4" s="1"/>
  <c r="T26" i="50"/>
  <c r="U26" i="50" s="1"/>
  <c r="V26" i="50" s="1"/>
  <c r="T30" i="50"/>
  <c r="U30" i="50" s="1"/>
  <c r="V30" i="50" s="1"/>
  <c r="T24" i="50"/>
  <c r="U24" i="50" s="1"/>
  <c r="V24" i="50" s="1"/>
  <c r="V45" i="50"/>
  <c r="Y45" i="50"/>
  <c r="V34" i="50"/>
  <c r="Y34" i="50"/>
  <c r="V44" i="50"/>
  <c r="Y44" i="50"/>
  <c r="Y6" i="50"/>
  <c r="AC6" i="50" s="1"/>
  <c r="V21" i="50"/>
  <c r="AC21" i="50" s="1"/>
  <c r="Y32" i="50"/>
  <c r="AC32" i="50" s="1"/>
  <c r="V47" i="50"/>
  <c r="AC47" i="50" s="1"/>
  <c r="Y20" i="50"/>
  <c r="AC20" i="50" s="1"/>
  <c r="AC27" i="50"/>
  <c r="Y38" i="50"/>
  <c r="AC38" i="50" s="1"/>
  <c r="V3" i="50"/>
  <c r="AC3" i="50" s="1"/>
  <c r="Y31" i="50"/>
  <c r="AC31" i="50" s="1"/>
  <c r="V7" i="50"/>
  <c r="AC7" i="50" s="1"/>
  <c r="Y42" i="50"/>
  <c r="AC42" i="50" s="1"/>
  <c r="Y28" i="50"/>
  <c r="AC28" i="50" s="1"/>
  <c r="V37" i="50"/>
  <c r="AC37" i="50" s="1"/>
  <c r="Y41" i="50"/>
  <c r="AC41" i="50" s="1"/>
  <c r="Y48" i="50"/>
  <c r="AC48" i="50" s="1"/>
  <c r="AA9" i="50"/>
  <c r="S29" i="50"/>
  <c r="X29" i="50"/>
  <c r="O8" i="49"/>
  <c r="D8" i="57" s="1"/>
  <c r="O11" i="49"/>
  <c r="D11" i="57" s="1"/>
  <c r="O38" i="49"/>
  <c r="D38" i="57" s="1"/>
  <c r="O27" i="49"/>
  <c r="D27" i="57" s="1"/>
  <c r="O5" i="49"/>
  <c r="D5" i="57" s="1"/>
  <c r="P36" i="49"/>
  <c r="Q36" i="49" s="1"/>
  <c r="N36" i="49" s="1"/>
  <c r="O42" i="49"/>
  <c r="D42" i="57" s="1"/>
  <c r="O34" i="49"/>
  <c r="D34" i="57" s="1"/>
  <c r="O10" i="49"/>
  <c r="D10" i="57" s="1"/>
  <c r="M25" i="42"/>
  <c r="D26" i="50"/>
  <c r="AO26" i="50" s="1"/>
  <c r="L38" i="46"/>
  <c r="P38" i="46" s="1"/>
  <c r="Q38" i="46" s="1"/>
  <c r="I44" i="50"/>
  <c r="AK44" i="50" s="1"/>
  <c r="P18" i="4"/>
  <c r="Q18" i="4" s="1"/>
  <c r="D20" i="50"/>
  <c r="AO20" i="50" s="1"/>
  <c r="M42" i="42"/>
  <c r="D46" i="50"/>
  <c r="AO46" i="50" s="1"/>
  <c r="L32" i="46"/>
  <c r="I25" i="50"/>
  <c r="AK25" i="50" s="1"/>
  <c r="M18" i="42"/>
  <c r="D19" i="50"/>
  <c r="AO19" i="50" s="1"/>
  <c r="M17" i="49"/>
  <c r="M36" i="49"/>
  <c r="M18" i="4"/>
  <c r="L25" i="46"/>
  <c r="I27" i="50"/>
  <c r="AK27" i="50" s="1"/>
  <c r="L30" i="46"/>
  <c r="I36" i="50"/>
  <c r="AK36" i="50" s="1"/>
  <c r="L11" i="46"/>
  <c r="I11" i="50"/>
  <c r="AK11" i="50" s="1"/>
  <c r="L18" i="46"/>
  <c r="I18" i="50"/>
  <c r="AK18" i="50" s="1"/>
  <c r="P17" i="49"/>
  <c r="Q17" i="49" s="1"/>
  <c r="N17" i="49" s="1"/>
  <c r="O19" i="4"/>
  <c r="D61" i="57" s="1"/>
  <c r="P24" i="42"/>
  <c r="Q24" i="42" s="1"/>
  <c r="N24" i="42" s="1"/>
  <c r="D22" i="50"/>
  <c r="AO22" i="50" s="1"/>
  <c r="M37" i="4"/>
  <c r="P29" i="4"/>
  <c r="Q29" i="4" s="1"/>
  <c r="L42" i="46"/>
  <c r="I45" i="50"/>
  <c r="AK45" i="50" s="1"/>
  <c r="L5" i="46"/>
  <c r="P5" i="46" s="1"/>
  <c r="Q5" i="46" s="1"/>
  <c r="I4" i="50"/>
  <c r="AK4" i="50" s="1"/>
  <c r="M24" i="4"/>
  <c r="P24" i="4"/>
  <c r="Q24" i="4" s="1"/>
  <c r="L37" i="46"/>
  <c r="I40" i="50"/>
  <c r="AK40" i="50" s="1"/>
  <c r="M14" i="42"/>
  <c r="D13" i="50"/>
  <c r="AO13" i="50" s="1"/>
  <c r="M19" i="46"/>
  <c r="D23" i="50"/>
  <c r="AO23" i="50" s="1"/>
  <c r="P19" i="46"/>
  <c r="Q19" i="46" s="1"/>
  <c r="L9" i="46"/>
  <c r="I8" i="50"/>
  <c r="AK8" i="50" s="1"/>
  <c r="M29" i="4"/>
  <c r="L20" i="46"/>
  <c r="I17" i="50"/>
  <c r="AK17" i="50" s="1"/>
  <c r="L15" i="46"/>
  <c r="I16" i="50"/>
  <c r="AK16" i="50" s="1"/>
  <c r="L26" i="46"/>
  <c r="I35" i="50"/>
  <c r="AK35" i="50" s="1"/>
  <c r="M36" i="42"/>
  <c r="D33" i="50"/>
  <c r="AO33" i="50" s="1"/>
  <c r="P37" i="4"/>
  <c r="Q37" i="4" s="1"/>
  <c r="M11" i="42"/>
  <c r="D10" i="50"/>
  <c r="AO10" i="50" s="1"/>
  <c r="M32" i="42"/>
  <c r="D24" i="50"/>
  <c r="AO24" i="50" s="1"/>
  <c r="L31" i="46"/>
  <c r="M30" i="42"/>
  <c r="D37" i="50"/>
  <c r="AO37" i="50" s="1"/>
  <c r="L33" i="46"/>
  <c r="O4" i="49"/>
  <c r="D4" i="57" s="1"/>
  <c r="O14" i="4"/>
  <c r="D56" i="57" s="1"/>
  <c r="O25" i="49"/>
  <c r="D25" i="57" s="1"/>
  <c r="O19" i="49"/>
  <c r="D19" i="57" s="1"/>
  <c r="O7" i="49"/>
  <c r="D7" i="57" s="1"/>
  <c r="O23" i="49"/>
  <c r="D23" i="57" s="1"/>
  <c r="O2" i="42"/>
  <c r="D86" i="57" s="1"/>
  <c r="O35" i="49"/>
  <c r="D35" i="57" s="1"/>
  <c r="O16" i="49"/>
  <c r="D16" i="57" s="1"/>
  <c r="O6" i="49"/>
  <c r="D6" i="57" s="1"/>
  <c r="O30" i="49"/>
  <c r="D30" i="57" s="1"/>
  <c r="O2" i="49"/>
  <c r="D2" i="57" s="1"/>
  <c r="O38" i="4"/>
  <c r="D80" i="57" s="1"/>
  <c r="O30" i="4"/>
  <c r="D72" i="57" s="1"/>
  <c r="O21" i="4"/>
  <c r="D63" i="57" s="1"/>
  <c r="O33" i="4"/>
  <c r="D75" i="57" s="1"/>
  <c r="O8" i="42"/>
  <c r="D92" i="57" s="1"/>
  <c r="P12" i="46"/>
  <c r="Q12" i="46" s="1"/>
  <c r="O27" i="42"/>
  <c r="D111" i="57" s="1"/>
  <c r="P33" i="42"/>
  <c r="Q33" i="42" s="1"/>
  <c r="N33" i="42" s="1"/>
  <c r="O33" i="42" s="1"/>
  <c r="D117" i="57" s="1"/>
  <c r="M24" i="42"/>
  <c r="M16" i="42"/>
  <c r="O16" i="42" s="1"/>
  <c r="D100" i="57" s="1"/>
  <c r="M17" i="42"/>
  <c r="O17" i="42" s="1"/>
  <c r="D101" i="57" s="1"/>
  <c r="P42" i="42"/>
  <c r="Q42" i="42" s="1"/>
  <c r="N42" i="42" s="1"/>
  <c r="P40" i="42"/>
  <c r="Q40" i="42" s="1"/>
  <c r="N40" i="42" s="1"/>
  <c r="O40" i="42" s="1"/>
  <c r="D124" i="57" s="1"/>
  <c r="P36" i="42"/>
  <c r="Q36" i="42" s="1"/>
  <c r="N36" i="42" s="1"/>
  <c r="P34" i="42"/>
  <c r="Q34" i="42" s="1"/>
  <c r="N34" i="42" s="1"/>
  <c r="O34" i="42" s="1"/>
  <c r="D118" i="57" s="1"/>
  <c r="P3" i="42"/>
  <c r="Q3" i="42" s="1"/>
  <c r="N3" i="42" s="1"/>
  <c r="O3" i="42" s="1"/>
  <c r="D87" i="57" s="1"/>
  <c r="P11" i="42"/>
  <c r="Q11" i="42" s="1"/>
  <c r="N11" i="42" s="1"/>
  <c r="P31" i="42"/>
  <c r="Q31" i="42" s="1"/>
  <c r="N31" i="42" s="1"/>
  <c r="O31" i="42" s="1"/>
  <c r="D115" i="57" s="1"/>
  <c r="P39" i="42"/>
  <c r="Q39" i="42" s="1"/>
  <c r="N39" i="42" s="1"/>
  <c r="O39" i="42" s="1"/>
  <c r="D123" i="57" s="1"/>
  <c r="P3" i="46"/>
  <c r="Q3" i="46" s="1"/>
  <c r="P40" i="46"/>
  <c r="Q40" i="46" s="1"/>
  <c r="P29" i="46"/>
  <c r="Q29" i="46" s="1"/>
  <c r="P28" i="46"/>
  <c r="P24" i="46"/>
  <c r="Q24" i="46" s="1"/>
  <c r="M17" i="46"/>
  <c r="M8" i="46"/>
  <c r="P6" i="46"/>
  <c r="Q6" i="46" s="1"/>
  <c r="P14" i="46"/>
  <c r="Q14" i="46" s="1"/>
  <c r="P27" i="46"/>
  <c r="P41" i="46"/>
  <c r="P36" i="46"/>
  <c r="P39" i="46"/>
  <c r="Q39" i="46" s="1"/>
  <c r="P21" i="46"/>
  <c r="Q21" i="46" s="1"/>
  <c r="M35" i="46"/>
  <c r="P22" i="46"/>
  <c r="P34" i="46"/>
  <c r="P21" i="42"/>
  <c r="Q21" i="42" s="1"/>
  <c r="N21" i="42" s="1"/>
  <c r="O21" i="42" s="1"/>
  <c r="D105" i="57" s="1"/>
  <c r="P6" i="42"/>
  <c r="Q6" i="42" s="1"/>
  <c r="N6" i="42" s="1"/>
  <c r="O6" i="42" s="1"/>
  <c r="D90" i="57" s="1"/>
  <c r="P30" i="42"/>
  <c r="Q30" i="42" s="1"/>
  <c r="N30" i="42" s="1"/>
  <c r="P9" i="42"/>
  <c r="Q9" i="42" s="1"/>
  <c r="N9" i="42" s="1"/>
  <c r="O9" i="42" s="1"/>
  <c r="D93" i="57" s="1"/>
  <c r="P7" i="42"/>
  <c r="Q7" i="42" s="1"/>
  <c r="N7" i="42" s="1"/>
  <c r="O7" i="42" s="1"/>
  <c r="D91" i="57" s="1"/>
  <c r="P22" i="42"/>
  <c r="Q22" i="42" s="1"/>
  <c r="N22" i="42" s="1"/>
  <c r="O22" i="42" s="1"/>
  <c r="D106" i="57" s="1"/>
  <c r="M26" i="42"/>
  <c r="O26" i="42" s="1"/>
  <c r="D110" i="57" s="1"/>
  <c r="P18" i="42"/>
  <c r="Q18" i="42" s="1"/>
  <c r="N18" i="42" s="1"/>
  <c r="P25" i="42"/>
  <c r="Q25" i="42" s="1"/>
  <c r="N25" i="42" s="1"/>
  <c r="P41" i="42"/>
  <c r="Q41" i="42" s="1"/>
  <c r="N41" i="42" s="1"/>
  <c r="O41" i="42" s="1"/>
  <c r="D125" i="57" s="1"/>
  <c r="P19" i="42"/>
  <c r="Q19" i="42" s="1"/>
  <c r="N19" i="42" s="1"/>
  <c r="O19" i="42" s="1"/>
  <c r="D103" i="57" s="1"/>
  <c r="P14" i="42"/>
  <c r="Q14" i="42" s="1"/>
  <c r="N14" i="42" s="1"/>
  <c r="P20" i="42"/>
  <c r="Q20" i="42" s="1"/>
  <c r="N20" i="42" s="1"/>
  <c r="O20" i="42" s="1"/>
  <c r="D104" i="57" s="1"/>
  <c r="P38" i="42"/>
  <c r="Q38" i="42" s="1"/>
  <c r="N38" i="42" s="1"/>
  <c r="O38" i="42" s="1"/>
  <c r="D122" i="57" s="1"/>
  <c r="P15" i="42"/>
  <c r="Q15" i="42" s="1"/>
  <c r="N15" i="42" s="1"/>
  <c r="O15" i="42" s="1"/>
  <c r="D99" i="57" s="1"/>
  <c r="P10" i="42"/>
  <c r="Q10" i="42" s="1"/>
  <c r="N10" i="42" s="1"/>
  <c r="O10" i="42" s="1"/>
  <c r="D94" i="57" s="1"/>
  <c r="P32" i="42"/>
  <c r="Q32" i="42" s="1"/>
  <c r="N32" i="42" s="1"/>
  <c r="P43" i="42"/>
  <c r="Q43" i="42" s="1"/>
  <c r="N43" i="42" s="1"/>
  <c r="O43" i="42" s="1"/>
  <c r="D127" i="57" s="1"/>
  <c r="P4" i="42"/>
  <c r="Q4" i="42" s="1"/>
  <c r="N4" i="42" s="1"/>
  <c r="O4" i="42" s="1"/>
  <c r="D88" i="57" s="1"/>
  <c r="P13" i="42"/>
  <c r="Q13" i="42" s="1"/>
  <c r="N13" i="42" s="1"/>
  <c r="O13" i="42" s="1"/>
  <c r="D97" i="57" s="1"/>
  <c r="P12" i="42"/>
  <c r="Q12" i="42" s="1"/>
  <c r="N12" i="42" s="1"/>
  <c r="O12" i="42" s="1"/>
  <c r="D96" i="57" s="1"/>
  <c r="P28" i="42"/>
  <c r="Q28" i="42" s="1"/>
  <c r="N28" i="42" s="1"/>
  <c r="O28" i="42" s="1"/>
  <c r="D112" i="57" s="1"/>
  <c r="P2" i="4"/>
  <c r="O2" i="41"/>
  <c r="P2" i="41" s="1"/>
  <c r="K2" i="41" s="1"/>
  <c r="L2" i="41" s="1"/>
  <c r="N2" i="41"/>
  <c r="O24" i="41"/>
  <c r="P24" i="41" s="1"/>
  <c r="K24" i="41" s="1"/>
  <c r="N24" i="41"/>
  <c r="O15" i="41"/>
  <c r="P15" i="41" s="1"/>
  <c r="K15" i="41" s="1"/>
  <c r="L15" i="41" s="1"/>
  <c r="N15" i="41"/>
  <c r="L24" i="41"/>
  <c r="O23" i="41"/>
  <c r="P23" i="41" s="1"/>
  <c r="K23" i="41" s="1"/>
  <c r="L23" i="41" s="1"/>
  <c r="N23" i="41"/>
  <c r="M30" i="41"/>
  <c r="O8" i="41"/>
  <c r="P8" i="41" s="1"/>
  <c r="K8" i="41" s="1"/>
  <c r="L8" i="41" s="1"/>
  <c r="N8" i="41"/>
  <c r="N9" i="41"/>
  <c r="O9" i="41"/>
  <c r="P9" i="41" s="1"/>
  <c r="K9" i="41" s="1"/>
  <c r="L9" i="41" s="1"/>
  <c r="O14" i="41"/>
  <c r="P14" i="41" s="1"/>
  <c r="K14" i="41" s="1"/>
  <c r="L14" i="41" s="1"/>
  <c r="N14" i="41"/>
  <c r="O19" i="41"/>
  <c r="P19" i="41" s="1"/>
  <c r="K19" i="41" s="1"/>
  <c r="L19" i="41" s="1"/>
  <c r="N19" i="41"/>
  <c r="M18" i="41"/>
  <c r="O25" i="41"/>
  <c r="P25" i="41" s="1"/>
  <c r="K25" i="41" s="1"/>
  <c r="L25" i="41" s="1"/>
  <c r="N25" i="41"/>
  <c r="O26" i="41"/>
  <c r="P26" i="41" s="1"/>
  <c r="K26" i="41" s="1"/>
  <c r="L26" i="41" s="1"/>
  <c r="N26" i="41"/>
  <c r="L17" i="41"/>
  <c r="O28" i="41"/>
  <c r="P28" i="41" s="1"/>
  <c r="K28" i="41" s="1"/>
  <c r="L28" i="41" s="1"/>
  <c r="N28" i="41"/>
  <c r="O5" i="41"/>
  <c r="P5" i="41" s="1"/>
  <c r="K5" i="41" s="1"/>
  <c r="L5" i="41" s="1"/>
  <c r="N5" i="41"/>
  <c r="O10" i="41"/>
  <c r="P10" i="41" s="1"/>
  <c r="K10" i="41" s="1"/>
  <c r="L10" i="41" s="1"/>
  <c r="N10" i="41"/>
  <c r="M27" i="41"/>
  <c r="O6" i="41"/>
  <c r="P6" i="41" s="1"/>
  <c r="K6" i="41" s="1"/>
  <c r="L6" i="41" s="1"/>
  <c r="N6" i="41"/>
  <c r="O17" i="41"/>
  <c r="P17" i="41" s="1"/>
  <c r="K17" i="41" s="1"/>
  <c r="N17" i="41"/>
  <c r="AB2" i="50" l="1"/>
  <c r="AC2" i="50" s="1"/>
  <c r="O43" i="46"/>
  <c r="D169" i="57" s="1"/>
  <c r="O8" i="46"/>
  <c r="D134" i="57" s="1"/>
  <c r="V33" i="50"/>
  <c r="AC33" i="50" s="1"/>
  <c r="O17" i="46"/>
  <c r="D143" i="57" s="1"/>
  <c r="AC45" i="50"/>
  <c r="AA7" i="50"/>
  <c r="AF7" i="50" s="1"/>
  <c r="AG7" i="50" s="1"/>
  <c r="I169" i="57"/>
  <c r="G169" i="57"/>
  <c r="A169" i="57"/>
  <c r="C169" i="57"/>
  <c r="E169" i="57"/>
  <c r="F169" i="57"/>
  <c r="O35" i="46"/>
  <c r="D161" i="57" s="1"/>
  <c r="I134" i="57"/>
  <c r="F134" i="57"/>
  <c r="A134" i="57"/>
  <c r="C134" i="57"/>
  <c r="AC44" i="50"/>
  <c r="H149" i="57"/>
  <c r="J149" i="57"/>
  <c r="A149" i="57"/>
  <c r="C149" i="57"/>
  <c r="E149" i="57"/>
  <c r="F149" i="57"/>
  <c r="G149" i="57"/>
  <c r="I149" i="57"/>
  <c r="H124" i="57"/>
  <c r="I124" i="57"/>
  <c r="J124" i="57"/>
  <c r="A124" i="57"/>
  <c r="C124" i="57"/>
  <c r="E124" i="57"/>
  <c r="F124" i="57"/>
  <c r="G124" i="57"/>
  <c r="O42" i="42"/>
  <c r="D126" i="57" s="1"/>
  <c r="H122" i="57"/>
  <c r="F122" i="57"/>
  <c r="G122" i="57"/>
  <c r="I122" i="57"/>
  <c r="J122" i="57"/>
  <c r="A122" i="57"/>
  <c r="C122" i="57"/>
  <c r="E122" i="57"/>
  <c r="H106" i="57"/>
  <c r="A106" i="57"/>
  <c r="C106" i="57"/>
  <c r="E106" i="57"/>
  <c r="F106" i="57"/>
  <c r="G106" i="57"/>
  <c r="I106" i="57"/>
  <c r="J106" i="57"/>
  <c r="H123" i="57"/>
  <c r="G123" i="57"/>
  <c r="I123" i="57"/>
  <c r="J123" i="57"/>
  <c r="A123" i="57"/>
  <c r="C123" i="57"/>
  <c r="E123" i="57"/>
  <c r="F123" i="57"/>
  <c r="H101" i="57"/>
  <c r="F101" i="57"/>
  <c r="G101" i="57"/>
  <c r="I101" i="57"/>
  <c r="J101" i="57"/>
  <c r="A101" i="57"/>
  <c r="C101" i="57"/>
  <c r="E101" i="57"/>
  <c r="H110" i="57"/>
  <c r="E110" i="57"/>
  <c r="F110" i="57"/>
  <c r="G110" i="57"/>
  <c r="I110" i="57"/>
  <c r="J110" i="57"/>
  <c r="A110" i="57"/>
  <c r="C110" i="57"/>
  <c r="H96" i="57"/>
  <c r="A96" i="57"/>
  <c r="C96" i="57"/>
  <c r="E96" i="57"/>
  <c r="F96" i="57"/>
  <c r="G96" i="57"/>
  <c r="I96" i="57"/>
  <c r="J96" i="57"/>
  <c r="H104" i="57"/>
  <c r="I104" i="57"/>
  <c r="J104" i="57"/>
  <c r="A104" i="57"/>
  <c r="C104" i="57"/>
  <c r="E104" i="57"/>
  <c r="F104" i="57"/>
  <c r="G104" i="57"/>
  <c r="H91" i="57"/>
  <c r="G91" i="57"/>
  <c r="I91" i="57"/>
  <c r="J91" i="57"/>
  <c r="A91" i="57"/>
  <c r="C91" i="57"/>
  <c r="E91" i="57"/>
  <c r="F91" i="57"/>
  <c r="H115" i="57"/>
  <c r="J115" i="57"/>
  <c r="A115" i="57"/>
  <c r="C115" i="57"/>
  <c r="E115" i="57"/>
  <c r="F115" i="57"/>
  <c r="G115" i="57"/>
  <c r="I115" i="57"/>
  <c r="H100" i="57"/>
  <c r="E100" i="57"/>
  <c r="F100" i="57"/>
  <c r="G100" i="57"/>
  <c r="I100" i="57"/>
  <c r="J100" i="57"/>
  <c r="A100" i="57"/>
  <c r="C100" i="57"/>
  <c r="Y10" i="50"/>
  <c r="AC10" i="50" s="1"/>
  <c r="H99" i="57"/>
  <c r="C99" i="57"/>
  <c r="E99" i="57"/>
  <c r="F99" i="57"/>
  <c r="G99" i="57"/>
  <c r="I99" i="57"/>
  <c r="J99" i="57"/>
  <c r="A99" i="57"/>
  <c r="H112" i="57"/>
  <c r="G112" i="57"/>
  <c r="I112" i="57"/>
  <c r="J112" i="57"/>
  <c r="A112" i="57"/>
  <c r="C112" i="57"/>
  <c r="E112" i="57"/>
  <c r="F112" i="57"/>
  <c r="H97" i="57"/>
  <c r="A97" i="57"/>
  <c r="C97" i="57"/>
  <c r="E97" i="57"/>
  <c r="F97" i="57"/>
  <c r="G97" i="57"/>
  <c r="I97" i="57"/>
  <c r="J97" i="57"/>
  <c r="H93" i="57"/>
  <c r="I93" i="57"/>
  <c r="J93" i="57"/>
  <c r="A93" i="57"/>
  <c r="C93" i="57"/>
  <c r="E93" i="57"/>
  <c r="F93" i="57"/>
  <c r="G93" i="57"/>
  <c r="H88" i="57"/>
  <c r="E88" i="57"/>
  <c r="F88" i="57"/>
  <c r="G88" i="57"/>
  <c r="I88" i="57"/>
  <c r="J88" i="57"/>
  <c r="A88" i="57"/>
  <c r="C88" i="57"/>
  <c r="H87" i="57"/>
  <c r="C87" i="57"/>
  <c r="E87" i="57"/>
  <c r="F87" i="57"/>
  <c r="G87" i="57"/>
  <c r="I87" i="57"/>
  <c r="J87" i="57"/>
  <c r="A87" i="57"/>
  <c r="H107" i="57"/>
  <c r="A107" i="57"/>
  <c r="C107" i="57"/>
  <c r="E107" i="57"/>
  <c r="F107" i="57"/>
  <c r="G107" i="57"/>
  <c r="I107" i="57"/>
  <c r="J107" i="57"/>
  <c r="H94" i="57"/>
  <c r="J94" i="57"/>
  <c r="A94" i="57"/>
  <c r="C94" i="57"/>
  <c r="E94" i="57"/>
  <c r="F94" i="57"/>
  <c r="G94" i="57"/>
  <c r="I94" i="57"/>
  <c r="H86" i="57"/>
  <c r="A86" i="57"/>
  <c r="C86" i="57"/>
  <c r="E86" i="57"/>
  <c r="F86" i="57"/>
  <c r="G86" i="57"/>
  <c r="I86" i="57"/>
  <c r="J86" i="57"/>
  <c r="H127" i="57"/>
  <c r="A127" i="57"/>
  <c r="C127" i="57"/>
  <c r="E127" i="57"/>
  <c r="F127" i="57"/>
  <c r="G127" i="57"/>
  <c r="I127" i="57"/>
  <c r="J127" i="57"/>
  <c r="H118" i="57"/>
  <c r="A118" i="57"/>
  <c r="C118" i="57"/>
  <c r="E118" i="57"/>
  <c r="F118" i="57"/>
  <c r="G118" i="57"/>
  <c r="I118" i="57"/>
  <c r="J118" i="57"/>
  <c r="H92" i="57"/>
  <c r="E92" i="57"/>
  <c r="J92" i="57"/>
  <c r="C92" i="57"/>
  <c r="F92" i="57"/>
  <c r="G92" i="57"/>
  <c r="I92" i="57"/>
  <c r="A92" i="57"/>
  <c r="S21" i="50"/>
  <c r="H103" i="57"/>
  <c r="G103" i="57"/>
  <c r="I103" i="57"/>
  <c r="J103" i="57"/>
  <c r="A103" i="57"/>
  <c r="C103" i="57"/>
  <c r="E103" i="57"/>
  <c r="F103" i="57"/>
  <c r="H117" i="57"/>
  <c r="A117" i="57"/>
  <c r="C117" i="57"/>
  <c r="E117" i="57"/>
  <c r="F117" i="57"/>
  <c r="G117" i="57"/>
  <c r="I117" i="57"/>
  <c r="J117" i="57"/>
  <c r="H125" i="57"/>
  <c r="J125" i="57"/>
  <c r="A125" i="57"/>
  <c r="C125" i="57"/>
  <c r="E125" i="57"/>
  <c r="F125" i="57"/>
  <c r="G125" i="57"/>
  <c r="I125" i="57"/>
  <c r="H90" i="57"/>
  <c r="F90" i="57"/>
  <c r="G90" i="57"/>
  <c r="I90" i="57"/>
  <c r="J90" i="57"/>
  <c r="A90" i="57"/>
  <c r="C90" i="57"/>
  <c r="E90" i="57"/>
  <c r="H111" i="57"/>
  <c r="F111" i="57"/>
  <c r="G111" i="57"/>
  <c r="I111" i="57"/>
  <c r="J111" i="57"/>
  <c r="A111" i="57"/>
  <c r="C111" i="57"/>
  <c r="E111" i="57"/>
  <c r="H105" i="57"/>
  <c r="J105" i="57"/>
  <c r="A105" i="57"/>
  <c r="C105" i="57"/>
  <c r="E105" i="57"/>
  <c r="F105" i="57"/>
  <c r="G105" i="57"/>
  <c r="I105" i="57"/>
  <c r="H53" i="57"/>
  <c r="J53" i="57"/>
  <c r="E53" i="57"/>
  <c r="I53" i="57"/>
  <c r="C53" i="57"/>
  <c r="F53" i="57"/>
  <c r="A53" i="57"/>
  <c r="G53" i="57"/>
  <c r="H76" i="57"/>
  <c r="E76" i="57"/>
  <c r="F76" i="57"/>
  <c r="G76" i="57"/>
  <c r="I76" i="57"/>
  <c r="J76" i="57"/>
  <c r="A76" i="57"/>
  <c r="C76" i="57"/>
  <c r="H67" i="57"/>
  <c r="E67" i="57"/>
  <c r="F67" i="57"/>
  <c r="G67" i="57"/>
  <c r="I67" i="57"/>
  <c r="J67" i="57"/>
  <c r="A67" i="57"/>
  <c r="C67" i="57"/>
  <c r="H78" i="57"/>
  <c r="E78" i="57"/>
  <c r="A78" i="57"/>
  <c r="C78" i="57"/>
  <c r="F78" i="57"/>
  <c r="I78" i="57"/>
  <c r="G78" i="57"/>
  <c r="J78" i="57"/>
  <c r="H68" i="57"/>
  <c r="F68" i="57"/>
  <c r="G68" i="57"/>
  <c r="I68" i="57"/>
  <c r="J68" i="57"/>
  <c r="A68" i="57"/>
  <c r="C68" i="57"/>
  <c r="E68" i="57"/>
  <c r="H58" i="57"/>
  <c r="F58" i="57"/>
  <c r="G58" i="57"/>
  <c r="I58" i="57"/>
  <c r="J58" i="57"/>
  <c r="A58" i="57"/>
  <c r="C58" i="57"/>
  <c r="E58" i="57"/>
  <c r="H63" i="57"/>
  <c r="A63" i="57"/>
  <c r="C63" i="57"/>
  <c r="E63" i="57"/>
  <c r="F63" i="57"/>
  <c r="G63" i="57"/>
  <c r="I63" i="57"/>
  <c r="J63" i="57"/>
  <c r="H69" i="57"/>
  <c r="G69" i="57"/>
  <c r="I69" i="57"/>
  <c r="J69" i="57"/>
  <c r="A69" i="57"/>
  <c r="C69" i="57"/>
  <c r="E69" i="57"/>
  <c r="F69" i="57"/>
  <c r="H72" i="57"/>
  <c r="J72" i="57"/>
  <c r="A72" i="57"/>
  <c r="C72" i="57"/>
  <c r="E72" i="57"/>
  <c r="F72" i="57"/>
  <c r="G72" i="57"/>
  <c r="I72" i="57"/>
  <c r="H50" i="57"/>
  <c r="G50" i="57"/>
  <c r="I50" i="57"/>
  <c r="J50" i="57"/>
  <c r="C50" i="57"/>
  <c r="F50" i="57"/>
  <c r="A50" i="57"/>
  <c r="E50" i="57"/>
  <c r="H83" i="57"/>
  <c r="E83" i="57"/>
  <c r="F83" i="57"/>
  <c r="G83" i="57"/>
  <c r="I83" i="57"/>
  <c r="J83" i="57"/>
  <c r="A83" i="57"/>
  <c r="C83" i="57"/>
  <c r="H46" i="57"/>
  <c r="E46" i="57"/>
  <c r="F46" i="57"/>
  <c r="G46" i="57"/>
  <c r="I46" i="57"/>
  <c r="J46" i="57"/>
  <c r="A46" i="57"/>
  <c r="C46" i="57"/>
  <c r="H49" i="57"/>
  <c r="I49" i="57"/>
  <c r="J49" i="57"/>
  <c r="A49" i="57"/>
  <c r="C49" i="57"/>
  <c r="E49" i="57"/>
  <c r="F49" i="57"/>
  <c r="G49" i="57"/>
  <c r="H48" i="57"/>
  <c r="G48" i="57"/>
  <c r="I48" i="57"/>
  <c r="J48" i="57"/>
  <c r="A48" i="57"/>
  <c r="C48" i="57"/>
  <c r="E48" i="57"/>
  <c r="F48" i="57"/>
  <c r="H52" i="57"/>
  <c r="A52" i="57"/>
  <c r="C52" i="57"/>
  <c r="E52" i="57"/>
  <c r="F52" i="57"/>
  <c r="G52" i="57"/>
  <c r="I52" i="57"/>
  <c r="J52" i="57"/>
  <c r="H57" i="57"/>
  <c r="E57" i="57"/>
  <c r="C57" i="57"/>
  <c r="F57" i="57"/>
  <c r="I57" i="57"/>
  <c r="G57" i="57"/>
  <c r="J57" i="57"/>
  <c r="A57" i="57"/>
  <c r="H70" i="57"/>
  <c r="I70" i="57"/>
  <c r="J70" i="57"/>
  <c r="A70" i="57"/>
  <c r="C70" i="57"/>
  <c r="E70" i="57"/>
  <c r="F70" i="57"/>
  <c r="G70" i="57"/>
  <c r="H55" i="57"/>
  <c r="C55" i="57"/>
  <c r="E55" i="57"/>
  <c r="F55" i="57"/>
  <c r="G55" i="57"/>
  <c r="I55" i="57"/>
  <c r="J55" i="57"/>
  <c r="A55" i="57"/>
  <c r="H81" i="57"/>
  <c r="J81" i="57"/>
  <c r="A81" i="57"/>
  <c r="C81" i="57"/>
  <c r="E81" i="57"/>
  <c r="F81" i="57"/>
  <c r="G81" i="57"/>
  <c r="I81" i="57"/>
  <c r="H56" i="57"/>
  <c r="E56" i="57"/>
  <c r="F56" i="57"/>
  <c r="G56" i="57"/>
  <c r="I56" i="57"/>
  <c r="J56" i="57"/>
  <c r="A56" i="57"/>
  <c r="C56" i="57"/>
  <c r="H80" i="57"/>
  <c r="I80" i="57"/>
  <c r="J80" i="57"/>
  <c r="A80" i="57"/>
  <c r="C80" i="57"/>
  <c r="E80" i="57"/>
  <c r="F80" i="57"/>
  <c r="G80" i="57"/>
  <c r="H82" i="57"/>
  <c r="A82" i="57"/>
  <c r="C82" i="57"/>
  <c r="E82" i="57"/>
  <c r="F82" i="57"/>
  <c r="G82" i="57"/>
  <c r="I82" i="57"/>
  <c r="J82" i="57"/>
  <c r="H62" i="57"/>
  <c r="J62" i="57"/>
  <c r="A62" i="57"/>
  <c r="C62" i="57"/>
  <c r="E62" i="57"/>
  <c r="F62" i="57"/>
  <c r="G62" i="57"/>
  <c r="I62" i="57"/>
  <c r="H73" i="57"/>
  <c r="A73" i="57"/>
  <c r="C73" i="57"/>
  <c r="E73" i="57"/>
  <c r="F73" i="57"/>
  <c r="G73" i="57"/>
  <c r="I73" i="57"/>
  <c r="J73" i="57"/>
  <c r="H64" i="57"/>
  <c r="A64" i="57"/>
  <c r="C64" i="57"/>
  <c r="E64" i="57"/>
  <c r="F64" i="57"/>
  <c r="G64" i="57"/>
  <c r="I64" i="57"/>
  <c r="J64" i="57"/>
  <c r="H77" i="57"/>
  <c r="F77" i="57"/>
  <c r="G77" i="57"/>
  <c r="I77" i="57"/>
  <c r="J77" i="57"/>
  <c r="A77" i="57"/>
  <c r="C77" i="57"/>
  <c r="E77" i="57"/>
  <c r="H85" i="57"/>
  <c r="C85" i="57"/>
  <c r="E85" i="57"/>
  <c r="F85" i="57"/>
  <c r="G85" i="57"/>
  <c r="I85" i="57"/>
  <c r="J85" i="57"/>
  <c r="A85" i="57"/>
  <c r="H61" i="57"/>
  <c r="I61" i="57"/>
  <c r="J61" i="57"/>
  <c r="A61" i="57"/>
  <c r="C61" i="57"/>
  <c r="E61" i="57"/>
  <c r="F61" i="57"/>
  <c r="G61" i="57"/>
  <c r="H75" i="57"/>
  <c r="C75" i="57"/>
  <c r="E75" i="57"/>
  <c r="F75" i="57"/>
  <c r="G75" i="57"/>
  <c r="I75" i="57"/>
  <c r="J75" i="57"/>
  <c r="A75" i="57"/>
  <c r="H59" i="57"/>
  <c r="G59" i="57"/>
  <c r="I59" i="57"/>
  <c r="J59" i="57"/>
  <c r="A59" i="57"/>
  <c r="C59" i="57"/>
  <c r="E59" i="57"/>
  <c r="F59" i="57"/>
  <c r="H54" i="57"/>
  <c r="A54" i="57"/>
  <c r="C54" i="57"/>
  <c r="E54" i="57"/>
  <c r="F54" i="57"/>
  <c r="G54" i="57"/>
  <c r="I54" i="57"/>
  <c r="J54" i="57"/>
  <c r="H74" i="57"/>
  <c r="A74" i="57"/>
  <c r="C74" i="57"/>
  <c r="E74" i="57"/>
  <c r="F74" i="57"/>
  <c r="G74" i="57"/>
  <c r="I74" i="57"/>
  <c r="J74" i="57"/>
  <c r="X21" i="50"/>
  <c r="H51" i="57"/>
  <c r="J51" i="57"/>
  <c r="A51" i="57"/>
  <c r="C51" i="57"/>
  <c r="E51" i="57"/>
  <c r="F51" i="57"/>
  <c r="G51" i="57"/>
  <c r="I51" i="57"/>
  <c r="H47" i="57"/>
  <c r="F47" i="57"/>
  <c r="G47" i="57"/>
  <c r="I47" i="57"/>
  <c r="J47" i="57"/>
  <c r="A47" i="57"/>
  <c r="C47" i="57"/>
  <c r="E47" i="57"/>
  <c r="H38" i="57"/>
  <c r="J38" i="57"/>
  <c r="A38" i="57"/>
  <c r="C38" i="57"/>
  <c r="E38" i="57"/>
  <c r="F38" i="57"/>
  <c r="G38" i="57"/>
  <c r="I38" i="57"/>
  <c r="H10" i="57"/>
  <c r="J10" i="57"/>
  <c r="A10" i="57"/>
  <c r="C10" i="57"/>
  <c r="E10" i="57"/>
  <c r="F10" i="57"/>
  <c r="G10" i="57"/>
  <c r="I10" i="57"/>
  <c r="H11" i="57"/>
  <c r="A11" i="57"/>
  <c r="C11" i="57"/>
  <c r="E11" i="57"/>
  <c r="F11" i="57"/>
  <c r="G11" i="57"/>
  <c r="I11" i="57"/>
  <c r="J11" i="57"/>
  <c r="H43" i="57"/>
  <c r="E43" i="57"/>
  <c r="F43" i="57"/>
  <c r="G43" i="57"/>
  <c r="I43" i="57"/>
  <c r="J43" i="57"/>
  <c r="A43" i="57"/>
  <c r="C43" i="57"/>
  <c r="H15" i="57"/>
  <c r="E15" i="57"/>
  <c r="F15" i="57"/>
  <c r="G15" i="57"/>
  <c r="I15" i="57"/>
  <c r="J15" i="57"/>
  <c r="A15" i="57"/>
  <c r="C15" i="57"/>
  <c r="H3" i="57"/>
  <c r="A3" i="57"/>
  <c r="C3" i="57"/>
  <c r="E3" i="57"/>
  <c r="F3" i="57"/>
  <c r="G3" i="57"/>
  <c r="I3" i="57"/>
  <c r="J3" i="57"/>
  <c r="H8" i="57"/>
  <c r="E8" i="57"/>
  <c r="G8" i="57"/>
  <c r="A8" i="57"/>
  <c r="F8" i="57"/>
  <c r="C8" i="57"/>
  <c r="I8" i="57"/>
  <c r="J8" i="57"/>
  <c r="H24" i="57"/>
  <c r="E24" i="57"/>
  <c r="F24" i="57"/>
  <c r="G24" i="57"/>
  <c r="I24" i="57"/>
  <c r="J24" i="57"/>
  <c r="A24" i="57"/>
  <c r="C24" i="57"/>
  <c r="H37" i="57"/>
  <c r="I37" i="57"/>
  <c r="J37" i="57"/>
  <c r="A37" i="57"/>
  <c r="C37" i="57"/>
  <c r="E37" i="57"/>
  <c r="F37" i="57"/>
  <c r="G37" i="57"/>
  <c r="H7" i="57"/>
  <c r="G7" i="57"/>
  <c r="I7" i="57"/>
  <c r="J7" i="57"/>
  <c r="A7" i="57"/>
  <c r="C7" i="57"/>
  <c r="E7" i="57"/>
  <c r="F7" i="57"/>
  <c r="H42" i="57"/>
  <c r="C42" i="57"/>
  <c r="E42" i="57"/>
  <c r="F42" i="57"/>
  <c r="G42" i="57"/>
  <c r="I42" i="57"/>
  <c r="J42" i="57"/>
  <c r="A42" i="57"/>
  <c r="H31" i="57"/>
  <c r="A31" i="57"/>
  <c r="C31" i="57"/>
  <c r="E31" i="57"/>
  <c r="F31" i="57"/>
  <c r="G31" i="57"/>
  <c r="I31" i="57"/>
  <c r="J31" i="57"/>
  <c r="H20" i="57"/>
  <c r="J20" i="57"/>
  <c r="A20" i="57"/>
  <c r="C20" i="57"/>
  <c r="E20" i="57"/>
  <c r="F20" i="57"/>
  <c r="G20" i="57"/>
  <c r="I20" i="57"/>
  <c r="H9" i="57"/>
  <c r="I9" i="57"/>
  <c r="J9" i="57"/>
  <c r="A9" i="57"/>
  <c r="C9" i="57"/>
  <c r="E9" i="57"/>
  <c r="F9" i="57"/>
  <c r="G9" i="57"/>
  <c r="H29" i="57"/>
  <c r="F29" i="57"/>
  <c r="I29" i="57"/>
  <c r="J29" i="57"/>
  <c r="G29" i="57"/>
  <c r="E29" i="57"/>
  <c r="C29" i="57"/>
  <c r="A29" i="57"/>
  <c r="H35" i="57"/>
  <c r="G35" i="57"/>
  <c r="I35" i="57"/>
  <c r="J35" i="57"/>
  <c r="A35" i="57"/>
  <c r="C35" i="57"/>
  <c r="E35" i="57"/>
  <c r="F35" i="57"/>
  <c r="H4" i="57"/>
  <c r="C4" i="57"/>
  <c r="E4" i="57"/>
  <c r="F4" i="57"/>
  <c r="G4" i="57"/>
  <c r="I4" i="57"/>
  <c r="J4" i="57"/>
  <c r="A4" i="57"/>
  <c r="H19" i="57"/>
  <c r="I19" i="57"/>
  <c r="J19" i="57"/>
  <c r="A19" i="57"/>
  <c r="C19" i="57"/>
  <c r="E19" i="57"/>
  <c r="F19" i="57"/>
  <c r="G19" i="57"/>
  <c r="H30" i="57"/>
  <c r="A30" i="57"/>
  <c r="C30" i="57"/>
  <c r="E30" i="57"/>
  <c r="F30" i="57"/>
  <c r="G30" i="57"/>
  <c r="I30" i="57"/>
  <c r="J30" i="57"/>
  <c r="H6" i="57"/>
  <c r="F6" i="57"/>
  <c r="G6" i="57"/>
  <c r="I6" i="57"/>
  <c r="J6" i="57"/>
  <c r="A6" i="57"/>
  <c r="C6" i="57"/>
  <c r="E6" i="57"/>
  <c r="H25" i="57"/>
  <c r="F25" i="57"/>
  <c r="G25" i="57"/>
  <c r="I25" i="57"/>
  <c r="J25" i="57"/>
  <c r="A25" i="57"/>
  <c r="C25" i="57"/>
  <c r="E25" i="57"/>
  <c r="H5" i="57"/>
  <c r="E5" i="57"/>
  <c r="F5" i="57"/>
  <c r="G5" i="57"/>
  <c r="I5" i="57"/>
  <c r="J5" i="57"/>
  <c r="A5" i="57"/>
  <c r="C5" i="57"/>
  <c r="H21" i="57"/>
  <c r="A21" i="57"/>
  <c r="C21" i="57"/>
  <c r="E21" i="57"/>
  <c r="F21" i="57"/>
  <c r="G21" i="57"/>
  <c r="I21" i="57"/>
  <c r="J21" i="57"/>
  <c r="H26" i="57"/>
  <c r="G26" i="57"/>
  <c r="I26" i="57"/>
  <c r="J26" i="57"/>
  <c r="A26" i="57"/>
  <c r="C26" i="57"/>
  <c r="E26" i="57"/>
  <c r="F26" i="57"/>
  <c r="H23" i="57"/>
  <c r="C23" i="57"/>
  <c r="E23" i="57"/>
  <c r="F23" i="57"/>
  <c r="G23" i="57"/>
  <c r="I23" i="57"/>
  <c r="J23" i="57"/>
  <c r="A23" i="57"/>
  <c r="H34" i="57"/>
  <c r="F34" i="57"/>
  <c r="G34" i="57"/>
  <c r="I34" i="57"/>
  <c r="J34" i="57"/>
  <c r="A34" i="57"/>
  <c r="C34" i="57"/>
  <c r="E34" i="57"/>
  <c r="H2" i="57"/>
  <c r="C2" i="57"/>
  <c r="G2" i="57"/>
  <c r="J2" i="57"/>
  <c r="A2" i="57"/>
  <c r="F2" i="57"/>
  <c r="I2" i="57"/>
  <c r="E2" i="57"/>
  <c r="H16" i="57"/>
  <c r="F16" i="57"/>
  <c r="G16" i="57"/>
  <c r="I16" i="57"/>
  <c r="J16" i="57"/>
  <c r="A16" i="57"/>
  <c r="C16" i="57"/>
  <c r="E16" i="57"/>
  <c r="H27" i="57"/>
  <c r="I27" i="57"/>
  <c r="J27" i="57"/>
  <c r="A27" i="57"/>
  <c r="C27" i="57"/>
  <c r="E27" i="57"/>
  <c r="F27" i="57"/>
  <c r="G27" i="57"/>
  <c r="H40" i="57"/>
  <c r="A40" i="57"/>
  <c r="C40" i="57"/>
  <c r="E40" i="57"/>
  <c r="F40" i="57"/>
  <c r="G40" i="57"/>
  <c r="I40" i="57"/>
  <c r="J40" i="57"/>
  <c r="Y13" i="50"/>
  <c r="AC13" i="50" s="1"/>
  <c r="D30" i="50"/>
  <c r="AO30" i="50" s="1"/>
  <c r="M29" i="42"/>
  <c r="O29" i="42" s="1"/>
  <c r="D113" i="57" s="1"/>
  <c r="N5" i="46"/>
  <c r="N12" i="46"/>
  <c r="O12" i="46" s="1"/>
  <c r="D138" i="57" s="1"/>
  <c r="N19" i="46"/>
  <c r="O19" i="46" s="1"/>
  <c r="D145" i="57" s="1"/>
  <c r="N38" i="46"/>
  <c r="N29" i="46"/>
  <c r="O29" i="46" s="1"/>
  <c r="D155" i="57" s="1"/>
  <c r="N6" i="46"/>
  <c r="O6" i="46" s="1"/>
  <c r="D132" i="57" s="1"/>
  <c r="N24" i="46"/>
  <c r="O24" i="46" s="1"/>
  <c r="D150" i="57" s="1"/>
  <c r="N40" i="46"/>
  <c r="O40" i="46" s="1"/>
  <c r="D166" i="57" s="1"/>
  <c r="N3" i="46"/>
  <c r="O3" i="46" s="1"/>
  <c r="D129" i="57" s="1"/>
  <c r="N21" i="46"/>
  <c r="O21" i="46" s="1"/>
  <c r="D147" i="57" s="1"/>
  <c r="N14" i="46"/>
  <c r="O14" i="46" s="1"/>
  <c r="D140" i="57" s="1"/>
  <c r="N39" i="46"/>
  <c r="O39" i="46" s="1"/>
  <c r="D165" i="57" s="1"/>
  <c r="AC40" i="50"/>
  <c r="S47" i="50"/>
  <c r="N29" i="4"/>
  <c r="O29" i="4" s="1"/>
  <c r="D71" i="57" s="1"/>
  <c r="N18" i="4"/>
  <c r="O18" i="4" s="1"/>
  <c r="D60" i="57" s="1"/>
  <c r="N42" i="4"/>
  <c r="O42" i="4" s="1"/>
  <c r="D84" i="57" s="1"/>
  <c r="N24" i="4"/>
  <c r="O24" i="4" s="1"/>
  <c r="D66" i="57" s="1"/>
  <c r="N37" i="4"/>
  <c r="O37" i="4" s="1"/>
  <c r="D79" i="57" s="1"/>
  <c r="M29" i="50"/>
  <c r="AP29" i="50" s="1"/>
  <c r="AI29" i="50" s="1"/>
  <c r="X28" i="50"/>
  <c r="S5" i="50"/>
  <c r="X5" i="50"/>
  <c r="S28" i="50"/>
  <c r="D39" i="50"/>
  <c r="AO39" i="50" s="1"/>
  <c r="M37" i="42"/>
  <c r="O37" i="42" s="1"/>
  <c r="D121" i="57" s="1"/>
  <c r="AF9" i="50"/>
  <c r="AG9" i="50" s="1"/>
  <c r="AC25" i="50"/>
  <c r="S42" i="50"/>
  <c r="AA29" i="50"/>
  <c r="AF29" i="50" s="1"/>
  <c r="AG29" i="50" s="1"/>
  <c r="X38" i="50"/>
  <c r="S38" i="50"/>
  <c r="X42" i="50"/>
  <c r="AC17" i="50"/>
  <c r="X31" i="50"/>
  <c r="AA15" i="50"/>
  <c r="AF15" i="50" s="1"/>
  <c r="AG15" i="50" s="1"/>
  <c r="S31" i="50"/>
  <c r="O32" i="42"/>
  <c r="D116" i="57" s="1"/>
  <c r="X6" i="50"/>
  <c r="S6" i="50"/>
  <c r="AC8" i="50"/>
  <c r="O30" i="42"/>
  <c r="D114" i="57" s="1"/>
  <c r="X3" i="50"/>
  <c r="S3" i="50"/>
  <c r="Y26" i="50"/>
  <c r="AC26" i="50" s="1"/>
  <c r="AA32" i="50"/>
  <c r="AF32" i="50" s="1"/>
  <c r="AG32" i="50" s="1"/>
  <c r="O41" i="49"/>
  <c r="D41" i="57" s="1"/>
  <c r="M6" i="50"/>
  <c r="AP6" i="50" s="1"/>
  <c r="AI6" i="50" s="1"/>
  <c r="P18" i="46"/>
  <c r="Q18" i="46" s="1"/>
  <c r="M7" i="50"/>
  <c r="AP7" i="50" s="1"/>
  <c r="AI7" i="50" s="1"/>
  <c r="P11" i="46"/>
  <c r="Q11" i="46" s="1"/>
  <c r="M32" i="50"/>
  <c r="AP32" i="50" s="1"/>
  <c r="AI32" i="50" s="1"/>
  <c r="P31" i="46"/>
  <c r="Q31" i="46" s="1"/>
  <c r="O25" i="42"/>
  <c r="D109" i="57" s="1"/>
  <c r="P42" i="46"/>
  <c r="Q42" i="46" s="1"/>
  <c r="M5" i="50"/>
  <c r="AP5" i="50" s="1"/>
  <c r="AI5" i="50" s="1"/>
  <c r="X14" i="50"/>
  <c r="O14" i="49"/>
  <c r="D14" i="57" s="1"/>
  <c r="S14" i="50"/>
  <c r="AO48" i="50"/>
  <c r="X48" i="50"/>
  <c r="S48" i="50"/>
  <c r="P15" i="46"/>
  <c r="Q15" i="46" s="1"/>
  <c r="M33" i="46"/>
  <c r="X41" i="50"/>
  <c r="M25" i="46"/>
  <c r="O5" i="42"/>
  <c r="D89" i="57" s="1"/>
  <c r="AO12" i="50"/>
  <c r="X12" i="50"/>
  <c r="S12" i="50"/>
  <c r="M15" i="50"/>
  <c r="AP15" i="50" s="1"/>
  <c r="AI15" i="50" s="1"/>
  <c r="P9" i="46"/>
  <c r="Q9" i="46" s="1"/>
  <c r="O36" i="42"/>
  <c r="D120" i="57" s="1"/>
  <c r="M48" i="50"/>
  <c r="AP48" i="50" s="1"/>
  <c r="P32" i="46"/>
  <c r="Q32" i="46" s="1"/>
  <c r="M9" i="50"/>
  <c r="AP9" i="50" s="1"/>
  <c r="AI9" i="50" s="1"/>
  <c r="S41" i="50"/>
  <c r="O14" i="42"/>
  <c r="D98" i="57" s="1"/>
  <c r="M20" i="46"/>
  <c r="M42" i="50"/>
  <c r="AP42" i="50" s="1"/>
  <c r="AI42" i="50" s="1"/>
  <c r="X47" i="50"/>
  <c r="AC34" i="50"/>
  <c r="Y22" i="50"/>
  <c r="V22" i="50"/>
  <c r="AC43" i="50"/>
  <c r="AC35" i="50"/>
  <c r="Y24" i="50"/>
  <c r="AC24" i="50" s="1"/>
  <c r="Y39" i="50"/>
  <c r="V39" i="50"/>
  <c r="Y30" i="50"/>
  <c r="AC30" i="50" s="1"/>
  <c r="V46" i="50"/>
  <c r="Y46" i="50"/>
  <c r="O17" i="49"/>
  <c r="D17" i="57" s="1"/>
  <c r="S24" i="50"/>
  <c r="X24" i="50"/>
  <c r="S30" i="50"/>
  <c r="S22" i="50"/>
  <c r="X22" i="50"/>
  <c r="S10" i="50"/>
  <c r="X10" i="50"/>
  <c r="S20" i="50"/>
  <c r="X20" i="50"/>
  <c r="S23" i="50"/>
  <c r="X23" i="50"/>
  <c r="S19" i="50"/>
  <c r="X19" i="50"/>
  <c r="S13" i="50"/>
  <c r="X13" i="50"/>
  <c r="S26" i="50"/>
  <c r="X26" i="50"/>
  <c r="S37" i="50"/>
  <c r="X37" i="50"/>
  <c r="S33" i="50"/>
  <c r="X33" i="50"/>
  <c r="S46" i="50"/>
  <c r="X46" i="50"/>
  <c r="O36" i="49"/>
  <c r="D36" i="57" s="1"/>
  <c r="M9" i="46"/>
  <c r="D8" i="50"/>
  <c r="AO8" i="50" s="1"/>
  <c r="M26" i="46"/>
  <c r="D35" i="50"/>
  <c r="AO35" i="50" s="1"/>
  <c r="M30" i="46"/>
  <c r="D36" i="50"/>
  <c r="AO36" i="50" s="1"/>
  <c r="O18" i="42"/>
  <c r="D102" i="57" s="1"/>
  <c r="P33" i="46"/>
  <c r="Q33" i="46" s="1"/>
  <c r="D34" i="50"/>
  <c r="AO34" i="50" s="1"/>
  <c r="P37" i="46"/>
  <c r="Q37" i="46" s="1"/>
  <c r="D40" i="50"/>
  <c r="AO40" i="50" s="1"/>
  <c r="P20" i="46"/>
  <c r="Q20" i="46" s="1"/>
  <c r="D17" i="50"/>
  <c r="AO17" i="50" s="1"/>
  <c r="M5" i="46"/>
  <c r="D4" i="50"/>
  <c r="AO4" i="50" s="1"/>
  <c r="P25" i="46"/>
  <c r="Q25" i="46" s="1"/>
  <c r="D27" i="50"/>
  <c r="AO27" i="50" s="1"/>
  <c r="M32" i="46"/>
  <c r="D25" i="50"/>
  <c r="AO25" i="50" s="1"/>
  <c r="M38" i="46"/>
  <c r="D44" i="50"/>
  <c r="AO44" i="50" s="1"/>
  <c r="P26" i="46"/>
  <c r="Q26" i="46" s="1"/>
  <c r="P30" i="46"/>
  <c r="Q30" i="46" s="1"/>
  <c r="M31" i="46"/>
  <c r="D43" i="50"/>
  <c r="AO43" i="50" s="1"/>
  <c r="M11" i="46"/>
  <c r="D11" i="50"/>
  <c r="AO11" i="50" s="1"/>
  <c r="M15" i="46"/>
  <c r="D16" i="50"/>
  <c r="AO16" i="50" s="1"/>
  <c r="M37" i="46"/>
  <c r="O11" i="42"/>
  <c r="D95" i="57" s="1"/>
  <c r="M42" i="46"/>
  <c r="D45" i="50"/>
  <c r="AO45" i="50" s="1"/>
  <c r="M18" i="46"/>
  <c r="D18" i="50"/>
  <c r="AO18" i="50" s="1"/>
  <c r="O24" i="42"/>
  <c r="D108" i="57" s="1"/>
  <c r="Q2" i="4"/>
  <c r="Q22" i="46"/>
  <c r="Q36" i="46"/>
  <c r="Q27" i="46"/>
  <c r="Q34" i="46"/>
  <c r="Q28" i="46"/>
  <c r="Q41" i="46"/>
  <c r="N27" i="41"/>
  <c r="O27" i="41"/>
  <c r="P27" i="41" s="1"/>
  <c r="K27" i="41" s="1"/>
  <c r="L27" i="41" s="1"/>
  <c r="N18" i="41"/>
  <c r="O18" i="41"/>
  <c r="P18" i="41" s="1"/>
  <c r="K18" i="41" s="1"/>
  <c r="L18" i="41" s="1"/>
  <c r="O30" i="41"/>
  <c r="P30" i="41" s="1"/>
  <c r="K30" i="41" s="1"/>
  <c r="L30" i="41" s="1"/>
  <c r="N30" i="41"/>
  <c r="J134" i="57" l="1"/>
  <c r="J169" i="57"/>
  <c r="G134" i="57"/>
  <c r="H143" i="57"/>
  <c r="H134" i="57"/>
  <c r="E134" i="57"/>
  <c r="H169" i="57"/>
  <c r="C143" i="57"/>
  <c r="A143" i="57"/>
  <c r="J143" i="57"/>
  <c r="I143" i="57"/>
  <c r="G143" i="57"/>
  <c r="AA47" i="50"/>
  <c r="AF47" i="50" s="1"/>
  <c r="AG47" i="50" s="1"/>
  <c r="M46" i="50"/>
  <c r="AP46" i="50" s="1"/>
  <c r="AI46" i="50" s="1"/>
  <c r="F143" i="57"/>
  <c r="E143" i="57"/>
  <c r="O38" i="46"/>
  <c r="D164" i="57" s="1"/>
  <c r="X30" i="50"/>
  <c r="AA30" i="50" s="1"/>
  <c r="AF30" i="50" s="1"/>
  <c r="AG30" i="50" s="1"/>
  <c r="AA21" i="50"/>
  <c r="AF21" i="50" s="1"/>
  <c r="AG21" i="50" s="1"/>
  <c r="O5" i="46"/>
  <c r="D131" i="57" s="1"/>
  <c r="AA3" i="50"/>
  <c r="AF3" i="50" s="1"/>
  <c r="AG3" i="50" s="1"/>
  <c r="AA6" i="50"/>
  <c r="AF6" i="50" s="1"/>
  <c r="AG6" i="50" s="1"/>
  <c r="AA31" i="50"/>
  <c r="AF31" i="50" s="1"/>
  <c r="AG31" i="50" s="1"/>
  <c r="AA28" i="50"/>
  <c r="AF28" i="50" s="1"/>
  <c r="AG28" i="50" s="1"/>
  <c r="AI48" i="50"/>
  <c r="H132" i="57"/>
  <c r="E132" i="57"/>
  <c r="F132" i="57"/>
  <c r="G132" i="57"/>
  <c r="I132" i="57"/>
  <c r="J132" i="57"/>
  <c r="C132" i="57"/>
  <c r="A132" i="57"/>
  <c r="H155" i="57"/>
  <c r="F155" i="57"/>
  <c r="G155" i="57"/>
  <c r="E155" i="57"/>
  <c r="I155" i="57"/>
  <c r="J155" i="57"/>
  <c r="A155" i="57"/>
  <c r="C155" i="57"/>
  <c r="H165" i="57"/>
  <c r="E165" i="57"/>
  <c r="F165" i="57"/>
  <c r="G165" i="57"/>
  <c r="C165" i="57"/>
  <c r="I165" i="57"/>
  <c r="J165" i="57"/>
  <c r="A165" i="57"/>
  <c r="H145" i="57"/>
  <c r="F145" i="57"/>
  <c r="G145" i="57"/>
  <c r="E145" i="57"/>
  <c r="I145" i="57"/>
  <c r="J145" i="57"/>
  <c r="A145" i="57"/>
  <c r="C145" i="57"/>
  <c r="H138" i="57"/>
  <c r="J138" i="57"/>
  <c r="I138" i="57"/>
  <c r="A138" i="57"/>
  <c r="C138" i="57"/>
  <c r="E138" i="57"/>
  <c r="F138" i="57"/>
  <c r="G138" i="57"/>
  <c r="H150" i="57"/>
  <c r="A150" i="57"/>
  <c r="J150" i="57"/>
  <c r="C150" i="57"/>
  <c r="E150" i="57"/>
  <c r="F150" i="57"/>
  <c r="G150" i="57"/>
  <c r="I150" i="57"/>
  <c r="H140" i="57"/>
  <c r="A140" i="57"/>
  <c r="C140" i="57"/>
  <c r="E140" i="57"/>
  <c r="F140" i="57"/>
  <c r="G140" i="57"/>
  <c r="I140" i="57"/>
  <c r="J140" i="57"/>
  <c r="H147" i="57"/>
  <c r="G147" i="57"/>
  <c r="F147" i="57"/>
  <c r="I147" i="57"/>
  <c r="J147" i="57"/>
  <c r="A147" i="57"/>
  <c r="C147" i="57"/>
  <c r="E147" i="57"/>
  <c r="AA42" i="50"/>
  <c r="AF42" i="50" s="1"/>
  <c r="AG42" i="50" s="1"/>
  <c r="H129" i="57"/>
  <c r="A129" i="57"/>
  <c r="C129" i="57"/>
  <c r="E129" i="57"/>
  <c r="F129" i="57"/>
  <c r="G129" i="57"/>
  <c r="I129" i="57"/>
  <c r="J129" i="57"/>
  <c r="M23" i="50"/>
  <c r="AP23" i="50" s="1"/>
  <c r="AI23" i="50" s="1"/>
  <c r="H166" i="57"/>
  <c r="F166" i="57"/>
  <c r="I166" i="57"/>
  <c r="G166" i="57"/>
  <c r="J166" i="57"/>
  <c r="A166" i="57"/>
  <c r="C166" i="57"/>
  <c r="E166" i="57"/>
  <c r="H161" i="57"/>
  <c r="A161" i="57"/>
  <c r="C161" i="57"/>
  <c r="E161" i="57"/>
  <c r="F161" i="57"/>
  <c r="G161" i="57"/>
  <c r="I161" i="57"/>
  <c r="J161" i="57"/>
  <c r="H108" i="57"/>
  <c r="E108" i="57"/>
  <c r="I108" i="57"/>
  <c r="F108" i="57"/>
  <c r="G108" i="57"/>
  <c r="A108" i="57"/>
  <c r="J108" i="57"/>
  <c r="C108" i="57"/>
  <c r="H102" i="57"/>
  <c r="I102" i="57"/>
  <c r="C102" i="57"/>
  <c r="A102" i="57"/>
  <c r="E102" i="57"/>
  <c r="F102" i="57"/>
  <c r="G102" i="57"/>
  <c r="J102" i="57"/>
  <c r="H98" i="57"/>
  <c r="J98" i="57"/>
  <c r="A98" i="57"/>
  <c r="C98" i="57"/>
  <c r="I98" i="57"/>
  <c r="E98" i="57"/>
  <c r="F98" i="57"/>
  <c r="G98" i="57"/>
  <c r="H121" i="57"/>
  <c r="E121" i="57"/>
  <c r="F121" i="57"/>
  <c r="G121" i="57"/>
  <c r="I121" i="57"/>
  <c r="J121" i="57"/>
  <c r="A121" i="57"/>
  <c r="C121" i="57"/>
  <c r="H113" i="57"/>
  <c r="G113" i="57"/>
  <c r="J113" i="57"/>
  <c r="I113" i="57"/>
  <c r="F113" i="57"/>
  <c r="A113" i="57"/>
  <c r="C113" i="57"/>
  <c r="E113" i="57"/>
  <c r="H89" i="57"/>
  <c r="C89" i="57"/>
  <c r="F89" i="57"/>
  <c r="G89" i="57"/>
  <c r="E89" i="57"/>
  <c r="I89" i="57"/>
  <c r="A89" i="57"/>
  <c r="J89" i="57"/>
  <c r="H120" i="57"/>
  <c r="F120" i="57"/>
  <c r="G120" i="57"/>
  <c r="A120" i="57"/>
  <c r="C120" i="57"/>
  <c r="E120" i="57"/>
  <c r="I120" i="57"/>
  <c r="J120" i="57"/>
  <c r="H109" i="57"/>
  <c r="C109" i="57"/>
  <c r="E109" i="57"/>
  <c r="F109" i="57"/>
  <c r="G109" i="57"/>
  <c r="I109" i="57"/>
  <c r="J109" i="57"/>
  <c r="A109" i="57"/>
  <c r="H116" i="57"/>
  <c r="J116" i="57"/>
  <c r="C116" i="57"/>
  <c r="F116" i="57"/>
  <c r="E116" i="57"/>
  <c r="A116" i="57"/>
  <c r="G116" i="57"/>
  <c r="I116" i="57"/>
  <c r="H95" i="57"/>
  <c r="G95" i="57"/>
  <c r="J95" i="57"/>
  <c r="A95" i="57"/>
  <c r="I95" i="57"/>
  <c r="C95" i="57"/>
  <c r="E95" i="57"/>
  <c r="F95" i="57"/>
  <c r="H114" i="57"/>
  <c r="I114" i="57"/>
  <c r="J114" i="57"/>
  <c r="A114" i="57"/>
  <c r="C114" i="57"/>
  <c r="E114" i="57"/>
  <c r="F114" i="57"/>
  <c r="G114" i="57"/>
  <c r="H126" i="57"/>
  <c r="E126" i="57"/>
  <c r="F126" i="57"/>
  <c r="I126" i="57"/>
  <c r="J126" i="57"/>
  <c r="G126" i="57"/>
  <c r="C126" i="57"/>
  <c r="A126" i="57"/>
  <c r="H66" i="57"/>
  <c r="G66" i="57"/>
  <c r="A66" i="57"/>
  <c r="I66" i="57"/>
  <c r="J66" i="57"/>
  <c r="F66" i="57"/>
  <c r="C66" i="57"/>
  <c r="E66" i="57"/>
  <c r="H84" i="57"/>
  <c r="A84" i="57"/>
  <c r="C84" i="57"/>
  <c r="E84" i="57"/>
  <c r="F84" i="57"/>
  <c r="G84" i="57"/>
  <c r="I84" i="57"/>
  <c r="J84" i="57"/>
  <c r="H79" i="57"/>
  <c r="G79" i="57"/>
  <c r="I79" i="57"/>
  <c r="J79" i="57"/>
  <c r="A79" i="57"/>
  <c r="C79" i="57"/>
  <c r="E79" i="57"/>
  <c r="F79" i="57"/>
  <c r="H60" i="57"/>
  <c r="A60" i="57"/>
  <c r="E60" i="57"/>
  <c r="I60" i="57"/>
  <c r="J60" i="57"/>
  <c r="F60" i="57"/>
  <c r="G60" i="57"/>
  <c r="C60" i="57"/>
  <c r="H71" i="57"/>
  <c r="J71" i="57"/>
  <c r="I71" i="57"/>
  <c r="A71" i="57"/>
  <c r="E71" i="57"/>
  <c r="C71" i="57"/>
  <c r="F71" i="57"/>
  <c r="G71" i="57"/>
  <c r="H14" i="57"/>
  <c r="I14" i="57"/>
  <c r="A14" i="57"/>
  <c r="C14" i="57"/>
  <c r="E14" i="57"/>
  <c r="J14" i="57"/>
  <c r="F14" i="57"/>
  <c r="G14" i="57"/>
  <c r="H41" i="57"/>
  <c r="E41" i="57"/>
  <c r="F41" i="57"/>
  <c r="I41" i="57"/>
  <c r="C41" i="57"/>
  <c r="G41" i="57"/>
  <c r="J41" i="57"/>
  <c r="A41" i="57"/>
  <c r="H17" i="57"/>
  <c r="A17" i="57"/>
  <c r="E17" i="57"/>
  <c r="F17" i="57"/>
  <c r="G17" i="57"/>
  <c r="C17" i="57"/>
  <c r="I17" i="57"/>
  <c r="J17" i="57"/>
  <c r="H36" i="57"/>
  <c r="J36" i="57"/>
  <c r="A36" i="57"/>
  <c r="F36" i="57"/>
  <c r="E36" i="57"/>
  <c r="C36" i="57"/>
  <c r="G36" i="57"/>
  <c r="I36" i="57"/>
  <c r="AA5" i="50"/>
  <c r="AF5" i="50" s="1"/>
  <c r="AG5" i="50" s="1"/>
  <c r="X39" i="50"/>
  <c r="S39" i="50"/>
  <c r="M24" i="50"/>
  <c r="AP24" i="50" s="1"/>
  <c r="AI24" i="50" s="1"/>
  <c r="M37" i="50"/>
  <c r="AP37" i="50" s="1"/>
  <c r="AI37" i="50" s="1"/>
  <c r="N22" i="46"/>
  <c r="O22" i="46" s="1"/>
  <c r="D148" i="57" s="1"/>
  <c r="N11" i="46"/>
  <c r="O11" i="46" s="1"/>
  <c r="D137" i="57" s="1"/>
  <c r="N25" i="46"/>
  <c r="O25" i="46" s="1"/>
  <c r="D151" i="57" s="1"/>
  <c r="N33" i="46"/>
  <c r="O33" i="46" s="1"/>
  <c r="D159" i="57" s="1"/>
  <c r="N9" i="46"/>
  <c r="O9" i="46" s="1"/>
  <c r="D135" i="57" s="1"/>
  <c r="N18" i="46"/>
  <c r="O18" i="46" s="1"/>
  <c r="D144" i="57" s="1"/>
  <c r="N42" i="46"/>
  <c r="O42" i="46" s="1"/>
  <c r="D168" i="57" s="1"/>
  <c r="N41" i="46"/>
  <c r="O41" i="46" s="1"/>
  <c r="D167" i="57" s="1"/>
  <c r="N37" i="46"/>
  <c r="O37" i="46" s="1"/>
  <c r="D163" i="57" s="1"/>
  <c r="N30" i="46"/>
  <c r="O30" i="46" s="1"/>
  <c r="D156" i="57" s="1"/>
  <c r="N26" i="46"/>
  <c r="O26" i="46" s="1"/>
  <c r="D152" i="57" s="1"/>
  <c r="N34" i="46"/>
  <c r="O34" i="46" s="1"/>
  <c r="D160" i="57" s="1"/>
  <c r="N15" i="46"/>
  <c r="O15" i="46" s="1"/>
  <c r="D141" i="57" s="1"/>
  <c r="N28" i="46"/>
  <c r="O28" i="46" s="1"/>
  <c r="D154" i="57" s="1"/>
  <c r="N27" i="46"/>
  <c r="O27" i="46" s="1"/>
  <c r="D153" i="57" s="1"/>
  <c r="N20" i="46"/>
  <c r="O20" i="46" s="1"/>
  <c r="D146" i="57" s="1"/>
  <c r="N36" i="46"/>
  <c r="O36" i="46" s="1"/>
  <c r="D162" i="57" s="1"/>
  <c r="N32" i="46"/>
  <c r="O32" i="46" s="1"/>
  <c r="D158" i="57" s="1"/>
  <c r="N31" i="46"/>
  <c r="O31" i="46" s="1"/>
  <c r="D157" i="57" s="1"/>
  <c r="N2" i="4"/>
  <c r="O2" i="4" s="1"/>
  <c r="D44" i="57" s="1"/>
  <c r="AA38" i="50"/>
  <c r="AF38" i="50" s="1"/>
  <c r="AG38" i="50" s="1"/>
  <c r="M41" i="50"/>
  <c r="AP41" i="50" s="1"/>
  <c r="AI41" i="50" s="1"/>
  <c r="AA41" i="50"/>
  <c r="AF41" i="50" s="1"/>
  <c r="AG41" i="50" s="1"/>
  <c r="AA14" i="50"/>
  <c r="AF14" i="50" s="1"/>
  <c r="AG14" i="50" s="1"/>
  <c r="M14" i="50"/>
  <c r="AP14" i="50" s="1"/>
  <c r="AI14" i="50" s="1"/>
  <c r="M13" i="50"/>
  <c r="AP13" i="50" s="1"/>
  <c r="AI13" i="50" s="1"/>
  <c r="AA48" i="50"/>
  <c r="AF48" i="50" s="1"/>
  <c r="AG48" i="50" s="1"/>
  <c r="M10" i="50"/>
  <c r="AP10" i="50" s="1"/>
  <c r="AI10" i="50" s="1"/>
  <c r="M38" i="50"/>
  <c r="AP38" i="50" s="1"/>
  <c r="AI38" i="50" s="1"/>
  <c r="M33" i="50"/>
  <c r="AP33" i="50" s="1"/>
  <c r="AI33" i="50" s="1"/>
  <c r="M20" i="50"/>
  <c r="AP20" i="50" s="1"/>
  <c r="AI20" i="50" s="1"/>
  <c r="M12" i="50"/>
  <c r="AP12" i="50" s="1"/>
  <c r="AI12" i="50" s="1"/>
  <c r="M3" i="50"/>
  <c r="AP3" i="50" s="1"/>
  <c r="AI3" i="50" s="1"/>
  <c r="M39" i="50"/>
  <c r="AP39" i="50" s="1"/>
  <c r="AI39" i="50" s="1"/>
  <c r="M31" i="50"/>
  <c r="AP31" i="50" s="1"/>
  <c r="AI31" i="50" s="1"/>
  <c r="M47" i="50"/>
  <c r="AP47" i="50" s="1"/>
  <c r="AI47" i="50" s="1"/>
  <c r="M26" i="50"/>
  <c r="AP26" i="50" s="1"/>
  <c r="AI26" i="50" s="1"/>
  <c r="M22" i="50"/>
  <c r="AP22" i="50" s="1"/>
  <c r="AI22" i="50" s="1"/>
  <c r="M30" i="50"/>
  <c r="AP30" i="50" s="1"/>
  <c r="AI30" i="50" s="1"/>
  <c r="M28" i="50"/>
  <c r="AP28" i="50" s="1"/>
  <c r="AI28" i="50" s="1"/>
  <c r="AC46" i="50"/>
  <c r="AA12" i="50"/>
  <c r="AF12" i="50" s="1"/>
  <c r="AG12" i="50" s="1"/>
  <c r="M4" i="50"/>
  <c r="AP4" i="50" s="1"/>
  <c r="AI4" i="50" s="1"/>
  <c r="M19" i="50"/>
  <c r="AP19" i="50" s="1"/>
  <c r="AI19" i="50" s="1"/>
  <c r="M21" i="50"/>
  <c r="AP21" i="50" s="1"/>
  <c r="AI21" i="50" s="1"/>
  <c r="AC22" i="50"/>
  <c r="AC39" i="50"/>
  <c r="AA37" i="50"/>
  <c r="AF37" i="50" s="1"/>
  <c r="AG37" i="50" s="1"/>
  <c r="AA19" i="50"/>
  <c r="AF19" i="50" s="1"/>
  <c r="AG19" i="50" s="1"/>
  <c r="AA22" i="50"/>
  <c r="AA33" i="50"/>
  <c r="AF33" i="50" s="1"/>
  <c r="AG33" i="50" s="1"/>
  <c r="AA10" i="50"/>
  <c r="AF10" i="50" s="1"/>
  <c r="AG10" i="50" s="1"/>
  <c r="AA26" i="50"/>
  <c r="AF26" i="50" s="1"/>
  <c r="AG26" i="50" s="1"/>
  <c r="AA23" i="50"/>
  <c r="AF23" i="50" s="1"/>
  <c r="AG23" i="50" s="1"/>
  <c r="AA46" i="50"/>
  <c r="AA13" i="50"/>
  <c r="AF13" i="50" s="1"/>
  <c r="AG13" i="50" s="1"/>
  <c r="AA20" i="50"/>
  <c r="AF20" i="50" s="1"/>
  <c r="AG20" i="50" s="1"/>
  <c r="AA24" i="50"/>
  <c r="AF24" i="50" s="1"/>
  <c r="AG24" i="50" s="1"/>
  <c r="S35" i="50"/>
  <c r="X35" i="50"/>
  <c r="S25" i="50"/>
  <c r="X25" i="50"/>
  <c r="S40" i="50"/>
  <c r="X40" i="50"/>
  <c r="S27" i="50"/>
  <c r="X27" i="50"/>
  <c r="S34" i="50"/>
  <c r="X34" i="50"/>
  <c r="S8" i="50"/>
  <c r="X8" i="50"/>
  <c r="S16" i="50"/>
  <c r="X16" i="50"/>
  <c r="S11" i="50"/>
  <c r="X11" i="50"/>
  <c r="S4" i="50"/>
  <c r="X4" i="50"/>
  <c r="S45" i="50"/>
  <c r="X45" i="50"/>
  <c r="S36" i="50"/>
  <c r="X36" i="50"/>
  <c r="S18" i="50"/>
  <c r="X18" i="50"/>
  <c r="S43" i="50"/>
  <c r="X43" i="50"/>
  <c r="S44" i="50"/>
  <c r="X44" i="50"/>
  <c r="S17" i="50"/>
  <c r="X17" i="50"/>
  <c r="L2" i="46"/>
  <c r="G131" i="57" l="1"/>
  <c r="M44" i="50"/>
  <c r="AP44" i="50" s="1"/>
  <c r="AI44" i="50" s="1"/>
  <c r="J164" i="57"/>
  <c r="I164" i="57"/>
  <c r="G164" i="57"/>
  <c r="H164" i="57"/>
  <c r="F164" i="57"/>
  <c r="E164" i="57"/>
  <c r="A164" i="57"/>
  <c r="F131" i="57"/>
  <c r="AA39" i="50"/>
  <c r="C164" i="57"/>
  <c r="E131" i="57"/>
  <c r="C131" i="57"/>
  <c r="J131" i="57"/>
  <c r="A131" i="57"/>
  <c r="I131" i="57"/>
  <c r="H131" i="57"/>
  <c r="H168" i="57"/>
  <c r="A168" i="57"/>
  <c r="G168" i="57"/>
  <c r="I168" i="57"/>
  <c r="J168" i="57"/>
  <c r="F168" i="57"/>
  <c r="C168" i="57"/>
  <c r="E168" i="57"/>
  <c r="H135" i="57"/>
  <c r="E135" i="57"/>
  <c r="G135" i="57"/>
  <c r="F135" i="57"/>
  <c r="A135" i="57"/>
  <c r="C135" i="57"/>
  <c r="I135" i="57"/>
  <c r="J135" i="57"/>
  <c r="H144" i="57"/>
  <c r="A144" i="57"/>
  <c r="E144" i="57"/>
  <c r="F144" i="57"/>
  <c r="C144" i="57"/>
  <c r="G144" i="57"/>
  <c r="I144" i="57"/>
  <c r="J144" i="57"/>
  <c r="H163" i="57"/>
  <c r="E163" i="57"/>
  <c r="G163" i="57"/>
  <c r="F163" i="57"/>
  <c r="J163" i="57"/>
  <c r="C163" i="57"/>
  <c r="I163" i="57"/>
  <c r="A163" i="57"/>
  <c r="H146" i="57"/>
  <c r="E146" i="57"/>
  <c r="G146" i="57"/>
  <c r="A146" i="57"/>
  <c r="F146" i="57"/>
  <c r="I146" i="57"/>
  <c r="C146" i="57"/>
  <c r="J146" i="57"/>
  <c r="H167" i="57"/>
  <c r="G167" i="57"/>
  <c r="I167" i="57"/>
  <c r="J167" i="57"/>
  <c r="A167" i="57"/>
  <c r="F167" i="57"/>
  <c r="C167" i="57"/>
  <c r="E167" i="57"/>
  <c r="H148" i="57"/>
  <c r="I148" i="57"/>
  <c r="J148" i="57"/>
  <c r="G148" i="57"/>
  <c r="A148" i="57"/>
  <c r="C148" i="57"/>
  <c r="E148" i="57"/>
  <c r="F148" i="57"/>
  <c r="H151" i="57"/>
  <c r="G151" i="57"/>
  <c r="I151" i="57"/>
  <c r="J151" i="57"/>
  <c r="C151" i="57"/>
  <c r="A151" i="57"/>
  <c r="E151" i="57"/>
  <c r="F151" i="57"/>
  <c r="H154" i="57"/>
  <c r="E154" i="57"/>
  <c r="F154" i="57"/>
  <c r="G154" i="57"/>
  <c r="I154" i="57"/>
  <c r="J154" i="57"/>
  <c r="A154" i="57"/>
  <c r="C154" i="57"/>
  <c r="H162" i="57"/>
  <c r="A162" i="57"/>
  <c r="C162" i="57"/>
  <c r="E162" i="57"/>
  <c r="F162" i="57"/>
  <c r="G162" i="57"/>
  <c r="I162" i="57"/>
  <c r="J162" i="57"/>
  <c r="H153" i="57"/>
  <c r="C153" i="57"/>
  <c r="A153" i="57"/>
  <c r="E153" i="57"/>
  <c r="F153" i="57"/>
  <c r="G153" i="57"/>
  <c r="I153" i="57"/>
  <c r="J153" i="57"/>
  <c r="H141" i="57"/>
  <c r="J141" i="57"/>
  <c r="E141" i="57"/>
  <c r="F141" i="57"/>
  <c r="I141" i="57"/>
  <c r="A141" i="57"/>
  <c r="C141" i="57"/>
  <c r="G141" i="57"/>
  <c r="H158" i="57"/>
  <c r="F158" i="57"/>
  <c r="G158" i="57"/>
  <c r="C158" i="57"/>
  <c r="E158" i="57"/>
  <c r="I158" i="57"/>
  <c r="A158" i="57"/>
  <c r="J158" i="57"/>
  <c r="H137" i="57"/>
  <c r="A137" i="57"/>
  <c r="G137" i="57"/>
  <c r="I137" i="57"/>
  <c r="J137" i="57"/>
  <c r="C137" i="57"/>
  <c r="E137" i="57"/>
  <c r="F137" i="57"/>
  <c r="H160" i="57"/>
  <c r="J160" i="57"/>
  <c r="I160" i="57"/>
  <c r="A160" i="57"/>
  <c r="C160" i="57"/>
  <c r="E160" i="57"/>
  <c r="F160" i="57"/>
  <c r="G160" i="57"/>
  <c r="H159" i="57"/>
  <c r="I159" i="57"/>
  <c r="G159" i="57"/>
  <c r="J159" i="57"/>
  <c r="A159" i="57"/>
  <c r="C159" i="57"/>
  <c r="E159" i="57"/>
  <c r="F159" i="57"/>
  <c r="H152" i="57"/>
  <c r="A152" i="57"/>
  <c r="C152" i="57"/>
  <c r="E152" i="57"/>
  <c r="F152" i="57"/>
  <c r="G152" i="57"/>
  <c r="I152" i="57"/>
  <c r="J152" i="57"/>
  <c r="H156" i="57"/>
  <c r="J156" i="57"/>
  <c r="I156" i="57"/>
  <c r="C156" i="57"/>
  <c r="F156" i="57"/>
  <c r="E156" i="57"/>
  <c r="A156" i="57"/>
  <c r="G156" i="57"/>
  <c r="H157" i="57"/>
  <c r="G157" i="57"/>
  <c r="I157" i="57"/>
  <c r="J157" i="57"/>
  <c r="A157" i="57"/>
  <c r="C157" i="57"/>
  <c r="E157" i="57"/>
  <c r="F157" i="57"/>
  <c r="H44" i="57"/>
  <c r="A44" i="57"/>
  <c r="C44" i="57"/>
  <c r="E44" i="57"/>
  <c r="F44" i="57"/>
  <c r="G44" i="57"/>
  <c r="I44" i="57"/>
  <c r="J44" i="57"/>
  <c r="AF46" i="50"/>
  <c r="AG46" i="50" s="1"/>
  <c r="AA44" i="50"/>
  <c r="AF44" i="50" s="1"/>
  <c r="AG44" i="50" s="1"/>
  <c r="AA45" i="50"/>
  <c r="AF45" i="50" s="1"/>
  <c r="AG45" i="50" s="1"/>
  <c r="AA8" i="50"/>
  <c r="AF8" i="50" s="1"/>
  <c r="AG8" i="50" s="1"/>
  <c r="AA25" i="50"/>
  <c r="AF25" i="50" s="1"/>
  <c r="AG25" i="50" s="1"/>
  <c r="M34" i="50"/>
  <c r="AP34" i="50" s="1"/>
  <c r="AI34" i="50" s="1"/>
  <c r="M11" i="50"/>
  <c r="AP11" i="50" s="1"/>
  <c r="AI11" i="50" s="1"/>
  <c r="M35" i="50"/>
  <c r="AP35" i="50" s="1"/>
  <c r="AI35" i="50" s="1"/>
  <c r="M8" i="50"/>
  <c r="AP8" i="50" s="1"/>
  <c r="AI8" i="50" s="1"/>
  <c r="M18" i="50"/>
  <c r="AP18" i="50" s="1"/>
  <c r="AI18" i="50" s="1"/>
  <c r="AA18" i="50"/>
  <c r="AF18" i="50" s="1"/>
  <c r="AG18" i="50" s="1"/>
  <c r="AA11" i="50"/>
  <c r="AF11" i="50" s="1"/>
  <c r="AG11" i="50" s="1"/>
  <c r="AA27" i="50"/>
  <c r="AF27" i="50" s="1"/>
  <c r="AG27" i="50" s="1"/>
  <c r="M36" i="50"/>
  <c r="AP36" i="50" s="1"/>
  <c r="AI36" i="50" s="1"/>
  <c r="M17" i="50"/>
  <c r="AP17" i="50" s="1"/>
  <c r="AI17" i="50" s="1"/>
  <c r="M45" i="50"/>
  <c r="AP45" i="50" s="1"/>
  <c r="AI45" i="50" s="1"/>
  <c r="AA17" i="50"/>
  <c r="AF17" i="50" s="1"/>
  <c r="AG17" i="50" s="1"/>
  <c r="AF39" i="50"/>
  <c r="AG39" i="50" s="1"/>
  <c r="M16" i="50"/>
  <c r="AP16" i="50" s="1"/>
  <c r="AI16" i="50" s="1"/>
  <c r="M27" i="50"/>
  <c r="AP27" i="50" s="1"/>
  <c r="AI27" i="50" s="1"/>
  <c r="M43" i="50"/>
  <c r="AP43" i="50" s="1"/>
  <c r="AI43" i="50" s="1"/>
  <c r="AF22" i="50"/>
  <c r="AG22" i="50" s="1"/>
  <c r="M25" i="50"/>
  <c r="AP25" i="50" s="1"/>
  <c r="AI25" i="50" s="1"/>
  <c r="M40" i="50"/>
  <c r="AP40" i="50" s="1"/>
  <c r="AI40" i="50" s="1"/>
  <c r="AA16" i="50"/>
  <c r="AF16" i="50" s="1"/>
  <c r="AG16" i="50" s="1"/>
  <c r="AA40" i="50"/>
  <c r="AF40" i="50" s="1"/>
  <c r="AG40" i="50" s="1"/>
  <c r="AA36" i="50"/>
  <c r="AF36" i="50" s="1"/>
  <c r="AG36" i="50" s="1"/>
  <c r="AA43" i="50"/>
  <c r="AF43" i="50" s="1"/>
  <c r="AG43" i="50" s="1"/>
  <c r="AA4" i="50"/>
  <c r="AF4" i="50" s="1"/>
  <c r="AG4" i="50" s="1"/>
  <c r="AA34" i="50"/>
  <c r="AF34" i="50" s="1"/>
  <c r="AG34" i="50" s="1"/>
  <c r="AA35" i="50"/>
  <c r="AF35" i="50" s="1"/>
  <c r="AG35" i="50" s="1"/>
  <c r="M2" i="46"/>
  <c r="D2" i="50"/>
  <c r="AO2" i="50" s="1"/>
  <c r="P2" i="46"/>
  <c r="Q2" i="46" s="1"/>
  <c r="N2" i="46" l="1"/>
  <c r="O2" i="46" s="1"/>
  <c r="D128" i="57" s="1"/>
  <c r="S2" i="50"/>
  <c r="X2" i="50"/>
  <c r="Z2" i="50" s="1"/>
  <c r="AA2" i="50" l="1"/>
  <c r="AF2" i="50" s="1"/>
  <c r="AG2" i="50" s="1"/>
  <c r="A128" i="57"/>
  <c r="H128" i="57"/>
  <c r="C128" i="57"/>
  <c r="E128" i="57"/>
  <c r="J128" i="57"/>
  <c r="G128" i="57"/>
  <c r="I128" i="57"/>
  <c r="F128" i="57"/>
  <c r="M2" i="50"/>
  <c r="AP2" i="50" s="1"/>
  <c r="AI2" i="5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  <author>chelms@socal.rr.com</author>
  </authors>
  <commentList>
    <comment ref="B1" authorId="0" shapeId="0" xr:uid="{2832869F-DC50-41B4-9862-1AB692EC3A13}">
      <text>
        <r>
          <rPr>
            <b/>
            <sz val="9"/>
            <color indexed="81"/>
            <rFont val="Tahoma"/>
            <family val="2"/>
          </rPr>
          <t>from design 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" authorId="0" shapeId="0" xr:uid="{DC1A9D8E-F581-425F-8366-EB78566ED777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" authorId="0" shapeId="0" xr:uid="{C1E1D086-8EBF-4906-9149-EBB384C5A653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ECDF3F52-B58D-4352-A542-134103436F3A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1" authorId="0" shapeId="0" xr:uid="{9E9C54B0-2E0C-4E21-A3A4-78F8605E4D20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" authorId="1" shapeId="0" xr:uid="{D4A85048-AA36-4A82-8338-96BF684B47DB}">
      <text>
        <r>
          <rPr>
            <sz val="9"/>
            <color indexed="81"/>
            <rFont val="Tahoma"/>
            <family val="2"/>
          </rPr>
          <t>Estimated based on 21% propellant fraction in trial simulations</t>
        </r>
      </text>
    </comment>
    <comment ref="Q32" authorId="1" shapeId="0" xr:uid="{06918D74-D611-4E81-A4BA-D4220D8AC855}">
      <text>
        <r>
          <rPr>
            <sz val="9"/>
            <color indexed="81"/>
            <rFont val="Tahoma"/>
            <family val="2"/>
          </rPr>
          <t>Estimated based on 21% propellant fraction in trial simulations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E1" authorId="0" shapeId="0" xr:uid="{61DD0D10-99F8-4E26-9A0E-D7439B28E294}">
      <text>
        <r>
          <rPr>
            <b/>
            <sz val="9"/>
            <color indexed="81"/>
            <rFont val="Tahoma"/>
            <family val="2"/>
          </rPr>
          <t>from design sheet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1" authorId="0" shapeId="0" xr:uid="{72E97BAC-9055-4B5E-AB91-1405BA39D651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1" authorId="0" shapeId="0" xr:uid="{2783298E-0933-4E03-8297-DB3B6BC2E345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" authorId="0" shapeId="0" xr:uid="{EA0E0D9F-12C5-4528-A4A1-1788A35DBEB0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B1" authorId="0" shapeId="0" xr:uid="{491660D7-6164-495A-98CF-9551C00DE1F0}">
      <text>
        <r>
          <rPr>
            <sz val="9"/>
            <color indexed="81"/>
            <rFont val="Tahoma"/>
            <family val="2"/>
          </rPr>
          <t xml:space="preserve">ISS WP2 cost estimate, assumes similar assembly sequence up through P6
</t>
        </r>
      </text>
    </comment>
    <comment ref="B3" authorId="0" shapeId="0" xr:uid="{1BFCEB96-3CEB-47B3-BEA3-70EF52D63C52}">
      <text>
        <r>
          <rPr>
            <sz val="9"/>
            <color indexed="81"/>
            <rFont val="Tahoma"/>
            <family val="2"/>
          </rPr>
          <t xml:space="preserve">Developed in AIAA-2018-4718 by analysis of  GEO launch market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E2" authorId="0" shapeId="0" xr:uid="{B808BB11-952E-4C02-8B87-414726C6CD0A}">
      <text>
        <r>
          <rPr>
            <sz val="9"/>
            <color indexed="81"/>
            <rFont val="Tahoma"/>
            <family val="2"/>
          </rPr>
          <t>Based on 12x24-7 ops center with 11 positions and one Mission Director per shift and 250 working days per year per ep.</t>
        </r>
      </text>
    </comment>
    <comment ref="F3" authorId="0" shapeId="0" xr:uid="{4347503B-ECF3-4070-A48D-D7D541815E9F}">
      <text>
        <r>
          <rPr>
            <sz val="9"/>
            <color indexed="81"/>
            <rFont val="Tahoma"/>
            <family val="2"/>
          </rPr>
          <t xml:space="preserve">Assumes 30% burdened rate
</t>
        </r>
      </text>
    </comment>
    <comment ref="F4" authorId="0" shapeId="0" xr:uid="{5E8E3883-CC3F-4B4F-AF38-C36DDF46C414}">
      <text>
        <r>
          <rPr>
            <sz val="9"/>
            <color indexed="81"/>
            <rFont val="Tahoma"/>
            <family val="2"/>
          </rPr>
          <t xml:space="preserve">$20K per day S-G network support
</t>
        </r>
      </text>
    </comment>
    <comment ref="F5" authorId="0" shapeId="0" xr:uid="{08A57733-9C86-44FC-8A07-7B070C7EB23A}">
      <text>
        <r>
          <rPr>
            <b/>
            <sz val="9"/>
            <color indexed="81"/>
            <rFont val="Tahoma"/>
            <family val="2"/>
          </rPr>
          <t>TUI3011B True Cost of Ownership model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" authorId="0" shapeId="0" xr:uid="{1E88C0CC-4CE0-455C-BF46-95E471C16F78}">
      <text>
        <r>
          <rPr>
            <sz val="9"/>
            <color indexed="81"/>
            <rFont val="Tahoma"/>
            <family val="2"/>
          </rPr>
          <t xml:space="preserve">Facility, Machinery, Personnel, Materials </t>
        </r>
      </text>
    </comment>
    <comment ref="F6" authorId="0" shapeId="0" xr:uid="{54995E7C-D87F-416D-A072-32950C0B8333}">
      <text>
        <r>
          <rPr>
            <sz val="9"/>
            <color indexed="81"/>
            <rFont val="Tahoma"/>
            <family val="2"/>
          </rPr>
          <t xml:space="preserve">TUI3011B True Cost of Ownership model
</t>
        </r>
      </text>
    </comment>
    <comment ref="F8" authorId="0" shapeId="0" xr:uid="{DE425E67-2CCA-4693-A9F0-174B3446F7F4}">
      <text>
        <r>
          <rPr>
            <sz val="9"/>
            <color indexed="81"/>
            <rFont val="Tahoma"/>
            <family val="2"/>
          </rPr>
          <t xml:space="preserve">Assumes 30% burdened rate
</t>
        </r>
      </text>
    </comment>
    <comment ref="B9" authorId="0" shapeId="0" xr:uid="{3314966E-A838-46AD-8994-E552CE3CC486}">
      <text>
        <r>
          <rPr>
            <sz val="9"/>
            <color indexed="81"/>
            <rFont val="Tahoma"/>
            <family val="2"/>
          </rPr>
          <t xml:space="preserve">Production &amp; storage of propellant mission kits, transport to launch site. Receiving and storage of spares.
</t>
        </r>
      </text>
    </comment>
    <comment ref="F9" authorId="0" shapeId="0" xr:uid="{B54068C6-4280-414A-B7C4-6CEFC6A231BD}">
      <text>
        <r>
          <rPr>
            <b/>
            <sz val="9"/>
            <color indexed="81"/>
            <rFont val="Tahoma"/>
            <family val="2"/>
          </rPr>
          <t>TUI3011B True Cost of Ownership model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3" authorId="0" shapeId="0" xr:uid="{F4B16F2B-B18B-479E-AA2D-E3AD67A5D07E}">
      <text>
        <r>
          <rPr>
            <b/>
            <sz val="9"/>
            <color indexed="81"/>
            <rFont val="Tahoma"/>
            <family val="2"/>
          </rPr>
          <t>Modified canonical Distance Unit (DU)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4" authorId="0" shapeId="0" xr:uid="{18A2C499-B8E2-4D4D-BC1B-91744DE9F10E}">
      <text>
        <r>
          <rPr>
            <b/>
            <sz val="9"/>
            <color indexed="81"/>
            <rFont val="Tahoma"/>
            <family val="2"/>
          </rPr>
          <t>Modified canonical Time Unit (TU)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5" authorId="0" shapeId="0" xr:uid="{9C75AC34-BDBF-44CF-A683-9BA7B9205D0F}">
      <text>
        <r>
          <rPr>
            <b/>
            <sz val="9"/>
            <color indexed="81"/>
            <rFont val="Tahoma"/>
            <family val="2"/>
          </rPr>
          <t>Modified canonical Speed Unit (SU)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25" authorId="0" shapeId="0" xr:uid="{A06D5937-82EE-4D5F-9E49-BECECDEA180D}">
      <text>
        <r>
          <rPr>
            <b/>
            <sz val="9"/>
            <color indexed="81"/>
            <rFont val="Tahoma"/>
            <family val="2"/>
          </rPr>
          <t>limit of the absolute value of Melbourne &amp; Sauer approximation to optimum mass properties.</t>
        </r>
      </text>
    </comment>
    <comment ref="F29" authorId="0" shapeId="0" xr:uid="{ABC38FDA-3128-4C0D-8F41-5CCC901E566A}">
      <text>
        <r>
          <rPr>
            <sz val="9"/>
            <color indexed="81"/>
            <rFont val="Tahoma"/>
            <family val="2"/>
          </rPr>
          <t xml:space="preserve">mp = mbo[prop fraction]
where prop fraction is calculated from Tsiolovsky eqn.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6C149563-48E7-476E-9BE6-75151A9379A0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01B87520-A177-44DB-AD23-2A80253D23A8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CBFFA969-F018-494F-A3DB-660A09EC8DD7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890367F4-6242-423F-82CE-E3728EB1A88F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7950C901-9DEF-4E9E-A8BD-1F9D3B6479E0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3D52E6EB-55A6-4142-9580-03E7BE77BAEB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732FB155-D9E2-4901-8C24-F9C85E4FA971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9C6FE1CC-4D6A-4340-84CC-C9B1EF9525DC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F9077742-D6F9-4421-878B-0F16915677E3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G1" authorId="0" shapeId="0" xr:uid="{0510BC96-8891-4FA2-A2CC-C1D568030126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" authorId="0" shapeId="0" xr:uid="{D61C67FC-426E-44CE-ACFD-336987B60BBC}">
      <text>
        <r>
          <rPr>
            <b/>
            <sz val="9"/>
            <color indexed="81"/>
            <rFont val="Tahoma"/>
            <family val="2"/>
          </rPr>
          <t xml:space="preserve">from design sheet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" authorId="0" shapeId="0" xr:uid="{DA658CCE-ED57-4F21-9DE1-08087633B754}">
      <text>
        <r>
          <rPr>
            <sz val="9"/>
            <color indexed="81"/>
            <rFont val="Tahoma"/>
            <family val="2"/>
          </rPr>
          <t xml:space="preserve">Difference between computed optimum mass and estimated mass &lt; 0.25
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colinhelms@outlook.com</author>
  </authors>
  <commentList>
    <comment ref="A1" authorId="0" shapeId="0" xr:uid="{55A76786-5BD5-4D3C-9B3C-F6390F4469AE}">
      <text>
        <r>
          <rPr>
            <sz val="9"/>
            <color indexed="81"/>
            <rFont val="Tahoma"/>
            <family val="2"/>
          </rPr>
          <t>Select Range, Import as Table, Filter out zeroes, use query to form new table "configsheet".
Data can be refreshed with a right click and select refresh.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63C2F52-8E4A-4609-90A9-241C6B85855B}" keepAlive="1" name="Query - configspec" description="Connection to the 'configspec' query in the workbook." type="5" refreshedVersion="6" background="1" saveData="1">
    <dbPr connection="Provider=Microsoft.Mashup.OleDb.1;Data Source=$Workbook$;Location=configspec;Extended Properties=&quot;&quot;" command="SELECT * FROM [configspec]"/>
  </connection>
</connections>
</file>

<file path=xl/sharedStrings.xml><?xml version="1.0" encoding="utf-8"?>
<sst xmlns="http://schemas.openxmlformats.org/spreadsheetml/2006/main" count="873" uniqueCount="228">
  <si>
    <t>Mbo</t>
  </si>
  <si>
    <t>Ms</t>
  </si>
  <si>
    <t>Mpl</t>
  </si>
  <si>
    <t>Mw</t>
  </si>
  <si>
    <t>Configuration</t>
  </si>
  <si>
    <t>M0</t>
  </si>
  <si>
    <t>16 HET, 8060W</t>
  </si>
  <si>
    <t>16 HET, 5999W</t>
  </si>
  <si>
    <t>16 HET, 4063 W</t>
  </si>
  <si>
    <t>32 HET, 4063 W</t>
  </si>
  <si>
    <t>32 HET, 5999W</t>
  </si>
  <si>
    <t>32 HET, 8060W</t>
  </si>
  <si>
    <t>64 HET, 4063 W</t>
  </si>
  <si>
    <t>64 HET, 5999W</t>
  </si>
  <si>
    <t>64 HET, 8060W</t>
  </si>
  <si>
    <t>Power (kW)</t>
  </si>
  <si>
    <t>Mprop</t>
  </si>
  <si>
    <t>Alpha</t>
  </si>
  <si>
    <t>1/mbo - 1/m0</t>
  </si>
  <si>
    <t>eta for 0.57 eff</t>
  </si>
  <si>
    <t>eta for 0.60 eff</t>
  </si>
  <si>
    <t>opt mbo</t>
  </si>
  <si>
    <t>opt mu-w</t>
  </si>
  <si>
    <t>mu-w</t>
  </si>
  <si>
    <t>Criteria</t>
  </si>
  <si>
    <t>32 HET 4537W</t>
  </si>
  <si>
    <t>32 HET 6295W</t>
  </si>
  <si>
    <t>32 HET 8061W</t>
  </si>
  <si>
    <t>64 HET 6295W</t>
  </si>
  <si>
    <t>64 HET 8061W</t>
  </si>
  <si>
    <t>Mp+rtn</t>
  </si>
  <si>
    <t>16 HET 4537W</t>
  </si>
  <si>
    <t>16 HET 6295W</t>
  </si>
  <si>
    <t>16 HET 8061W</t>
  </si>
  <si>
    <t>64 HET 4537W</t>
  </si>
  <si>
    <t>48 HET 4537W</t>
  </si>
  <si>
    <t>48 HET 6295W</t>
  </si>
  <si>
    <t>48 HET 8061W</t>
  </si>
  <si>
    <t>16 HET 4544W</t>
  </si>
  <si>
    <t>32 HET 4544W</t>
  </si>
  <si>
    <t>48 HET 4544W</t>
  </si>
  <si>
    <t>64 HET 4544W</t>
  </si>
  <si>
    <t>16 HET 6327W</t>
  </si>
  <si>
    <t>32 HET 6327W</t>
  </si>
  <si>
    <t>48 HET 6327W</t>
  </si>
  <si>
    <t>64 HET 6327W</t>
  </si>
  <si>
    <t>16 HET 8058W</t>
  </si>
  <si>
    <t>32 HET 8058W</t>
  </si>
  <si>
    <t>48 HET 8058W</t>
  </si>
  <si>
    <t>64 HET 8058W</t>
  </si>
  <si>
    <t>16 HET 4563W</t>
  </si>
  <si>
    <t>32 HET 4563W</t>
  </si>
  <si>
    <t>48 HET 4563W</t>
  </si>
  <si>
    <t>64 HET 4563W</t>
  </si>
  <si>
    <t>16 HET 8047W</t>
  </si>
  <si>
    <t>32 HET 8047W</t>
  </si>
  <si>
    <t>48 HET 8047W</t>
  </si>
  <si>
    <t>64 HET 8047W</t>
  </si>
  <si>
    <t>16 HET 6342W</t>
  </si>
  <si>
    <t>32 HET 6342W</t>
  </si>
  <si>
    <t>64 HET 6342W</t>
  </si>
  <si>
    <t>Efficiency</t>
  </si>
  <si>
    <t>Isp</t>
  </si>
  <si>
    <t>Thrust (N)</t>
  </si>
  <si>
    <t>Power</t>
  </si>
  <si>
    <t>Thruster characteristics:</t>
  </si>
  <si>
    <t>m/sec</t>
  </si>
  <si>
    <t>Delta V</t>
  </si>
  <si>
    <t>degrees</t>
  </si>
  <si>
    <t>km</t>
  </si>
  <si>
    <t>Source: Private communication with Bruce Pote</t>
  </si>
  <si>
    <t>Prop Fraction</t>
  </si>
  <si>
    <t>eta</t>
  </si>
  <si>
    <t>Ms (kg)</t>
  </si>
  <si>
    <t>Mw (kg)</t>
  </si>
  <si>
    <t>Mpl (kg)</t>
  </si>
  <si>
    <t>Mbo (kg)</t>
  </si>
  <si>
    <t>48 HET 6342W</t>
  </si>
  <si>
    <t>Revision 1</t>
  </si>
  <si>
    <t>Mission M</t>
  </si>
  <si>
    <t>Prop Fract</t>
  </si>
  <si>
    <t>Num HET</t>
  </si>
  <si>
    <t>Power per HET</t>
  </si>
  <si>
    <t>Thrust per HET</t>
  </si>
  <si>
    <t>IEPC-13-317, 2013, Table 1. BHT-8000 Throttle Table</t>
  </si>
  <si>
    <t>Discharcge (V)</t>
  </si>
  <si>
    <t>Eff</t>
  </si>
  <si>
    <t>Mp+rtn (kg)</t>
  </si>
  <si>
    <t>M0 (kg)</t>
  </si>
  <si>
    <t>16 HET 4063W</t>
  </si>
  <si>
    <t>16 HET 5999W</t>
  </si>
  <si>
    <t>16 HET 8060W</t>
  </si>
  <si>
    <t>32 HET 4063W</t>
  </si>
  <si>
    <t>48 HET 4063W</t>
  </si>
  <si>
    <t>48 HET 5999W</t>
  </si>
  <si>
    <t>48 HET 8060W</t>
  </si>
  <si>
    <t>64 HET 4063W</t>
  </si>
  <si>
    <t>64 HET 5999W</t>
  </si>
  <si>
    <t>32 HET 5999W</t>
  </si>
  <si>
    <t>64 HET 8060W</t>
  </si>
  <si>
    <t>32 HET 8060W</t>
  </si>
  <si>
    <t>Final SMA:</t>
  </si>
  <si>
    <t>Initial RAAN</t>
  </si>
  <si>
    <t>Initial ECC</t>
  </si>
  <si>
    <t>Initial SMA</t>
  </si>
  <si>
    <t>Initial AOP</t>
  </si>
  <si>
    <t>Initial TA</t>
  </si>
  <si>
    <t>Revision 2</t>
  </si>
  <si>
    <t>Rearranged tabs to order by power, payload.  What is the proper set of generalized coordinates for this optimization?</t>
  </si>
  <si>
    <t>Copied from "Mission Performance Tables JS&amp;R_baseline" Optimization tab; thruster setpoints added for 600V and 800V</t>
  </si>
  <si>
    <t>Updated with propellant mass calculation; accounts for inclination and Isp. Mass and propellant calculated by DesignSheet-JS&amp;R2018_baseline.</t>
  </si>
  <si>
    <t>Baseline</t>
  </si>
  <si>
    <t>Set Point (V)</t>
  </si>
  <si>
    <t>Initial Investment</t>
  </si>
  <si>
    <t>M</t>
  </si>
  <si>
    <t>Investment Life</t>
  </si>
  <si>
    <t>yr</t>
  </si>
  <si>
    <t>Revenue per payload</t>
  </si>
  <si>
    <t>Provisioning Duration</t>
  </si>
  <si>
    <t>days</t>
  </si>
  <si>
    <t>Inflation Rate</t>
  </si>
  <si>
    <t>Annual Fixed Costs:</t>
  </si>
  <si>
    <t>Mission Operations</t>
  </si>
  <si>
    <t>ep ops staff</t>
  </si>
  <si>
    <t xml:space="preserve">$M per myr </t>
  </si>
  <si>
    <t>$M S-G Comm</t>
  </si>
  <si>
    <t xml:space="preserve">sq-ft </t>
  </si>
  <si>
    <t>Plant &amp; Engineering</t>
  </si>
  <si>
    <t>sq-ft</t>
  </si>
  <si>
    <t>ep staff</t>
  </si>
  <si>
    <t xml:space="preserve">M/ep-year </t>
  </si>
  <si>
    <t>Logistics, Depot Support</t>
  </si>
  <si>
    <t>Repair &amp; Replenishment</t>
  </si>
  <si>
    <t>vehicles</t>
  </si>
  <si>
    <t>repair ratio</t>
  </si>
  <si>
    <t>Vehicle value ($M)</t>
  </si>
  <si>
    <t>Program Mgmt, Contracts</t>
  </si>
  <si>
    <t>Sales and Marketing</t>
  </si>
  <si>
    <t>Cost of Sales</t>
  </si>
  <si>
    <t>per year</t>
  </si>
  <si>
    <t>Annual Revenues:</t>
  </si>
  <si>
    <t>Price charged per kg</t>
  </si>
  <si>
    <t>LV LEO Capability</t>
  </si>
  <si>
    <t>LV Price</t>
  </si>
  <si>
    <t>Launch Cost</t>
  </si>
  <si>
    <t>services</t>
  </si>
  <si>
    <t>other income</t>
  </si>
  <si>
    <t>per kg</t>
  </si>
  <si>
    <t>Accel (m/s^2)</t>
  </si>
  <si>
    <t>Mass flow (kg/sec)</t>
  </si>
  <si>
    <t>Specific Mass flow</t>
  </si>
  <si>
    <t>g0</t>
  </si>
  <si>
    <t>m/s^2</t>
  </si>
  <si>
    <t>time of flight (s)</t>
  </si>
  <si>
    <t>time of flight (d)</t>
  </si>
  <si>
    <t>Rtn Accel</t>
  </si>
  <si>
    <t>Rtn Mp</t>
  </si>
  <si>
    <t>Rtn M0</t>
  </si>
  <si>
    <t>Rtn Sp Mass Flow</t>
  </si>
  <si>
    <t>rtn time of flight</t>
  </si>
  <si>
    <t>Total time of flight</t>
  </si>
  <si>
    <t>Mission per yr</t>
  </si>
  <si>
    <t>Max Revenue per yr ($M)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</si>
  <si>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</si>
  <si>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</si>
  <si>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</si>
  <si>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</si>
  <si>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</si>
  <si>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</si>
  <si>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</si>
  <si>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</si>
  <si>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</si>
  <si>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</si>
  <si>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kg</t>
  </si>
  <si>
    <t>IRR</t>
  </si>
  <si>
    <t>Revision 3</t>
  </si>
  <si>
    <t>Columns rearranged to form tables for JS&amp;R Paper</t>
  </si>
  <si>
    <t>Dry Mass</t>
  </si>
  <si>
    <t>Max Thrust Power</t>
  </si>
  <si>
    <t>Min Thrust Power</t>
  </si>
  <si>
    <t>Thrust</t>
  </si>
  <si>
    <t>Available Power</t>
  </si>
  <si>
    <t>Propellant</t>
  </si>
  <si>
    <t>Set Point</t>
  </si>
  <si>
    <t>350V</t>
  </si>
  <si>
    <t>400V</t>
  </si>
  <si>
    <t>600V</t>
  </si>
  <si>
    <t>800V</t>
  </si>
  <si>
    <t>Payload</t>
  </si>
  <si>
    <t>Revision 4</t>
  </si>
  <si>
    <t>Query added to generate configspec table for use by GMAT automation scripts</t>
  </si>
  <si>
    <t>Max Power (kW)</t>
  </si>
  <si>
    <t>Min Power (kW)</t>
  </si>
  <si>
    <t>Interpolated from Figure 6-24, p.385, Vallado for 6.13 R and 28.5 deg.  Value interpolated is .78 DU.</t>
  </si>
  <si>
    <t>Orbit Ratio</t>
  </si>
  <si>
    <t>Co-pl. Delta V</t>
  </si>
  <si>
    <t>DU*</t>
  </si>
  <si>
    <t>TU*</t>
  </si>
  <si>
    <t>SU*</t>
  </si>
  <si>
    <t>Earth Radius</t>
  </si>
  <si>
    <t>TU</t>
  </si>
  <si>
    <t>solar sec</t>
  </si>
  <si>
    <t>km/sec</t>
  </si>
  <si>
    <t>ER</t>
  </si>
  <si>
    <t>m/s</t>
  </si>
  <si>
    <t>AlfanoXfer</t>
  </si>
  <si>
    <t>Mission:</t>
  </si>
  <si>
    <t>Starting Epoch:</t>
  </si>
  <si>
    <t>Inclination:</t>
  </si>
  <si>
    <t>deg. change</t>
  </si>
  <si>
    <t>costate</t>
  </si>
  <si>
    <t>rows</t>
  </si>
  <si>
    <t>columns</t>
  </si>
  <si>
    <t>view-x (km)</t>
  </si>
  <si>
    <t>view-y (km)</t>
  </si>
  <si>
    <t>view- (km)</t>
  </si>
  <si>
    <t>lines expected</t>
  </si>
  <si>
    <t>Elaborated</t>
  </si>
  <si>
    <t>20 Mar 2020 03:49:00.000 UTC</t>
  </si>
  <si>
    <t>20 Jun 2020 21:43:00.000 UTC</t>
  </si>
  <si>
    <t>22 Sep 2020 13:30:00.000 UTC</t>
  </si>
  <si>
    <t>21 Dec 2020 10:02:00.000 UTC</t>
  </si>
  <si>
    <t>Revision 5</t>
  </si>
  <si>
    <t>Added mission_name to Mission Params</t>
  </si>
  <si>
    <t>Revision 6</t>
  </si>
  <si>
    <t>Copy of Vehicle Optimization Tables JS&amp;R_large.xlsx in WorkingFolder\ProjectRoot\projects\GMAT\GMAT-Automation</t>
  </si>
  <si>
    <t>Revision 7</t>
  </si>
  <si>
    <t>Changed inclination from 51.2 to 51.6 in order to use the ISS Orbit inclination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</si>
</sst>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0.000"/>
    <numFmt numFmtId="165" formatCode="0.0000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121">
    <xf numFmtId="0" fontId="0" fillId="0" borderId="0" xfId="0"/>
    <xf numFmtId="0" fontId="2" fillId="0" borderId="0" xfId="0" applyFont="1" applyAlignment="1">
      <alignment horizontal="center" vertical="top" wrapText="1"/>
    </xf>
    <xf numFmtId="2" fontId="0" fillId="0" borderId="0" xfId="0" applyNumberFormat="1"/>
    <xf numFmtId="2" fontId="2" fillId="0" borderId="0" xfId="0" applyNumberFormat="1" applyFont="1"/>
    <xf numFmtId="1" fontId="2" fillId="0" borderId="0" xfId="0" applyNumberFormat="1" applyFont="1"/>
    <xf numFmtId="0" fontId="0" fillId="0" borderId="0" xfId="0" applyAlignment="1">
      <alignment horizontal="center"/>
    </xf>
    <xf numFmtId="0" fontId="0" fillId="0" borderId="0" xfId="0" applyFill="1"/>
    <xf numFmtId="2" fontId="2" fillId="0" borderId="0" xfId="0" applyNumberFormat="1" applyFont="1" applyFill="1"/>
    <xf numFmtId="1" fontId="2" fillId="0" borderId="0" xfId="0" applyNumberFormat="1" applyFont="1" applyFill="1"/>
    <xf numFmtId="0" fontId="2" fillId="0" borderId="0" xfId="0" applyFont="1" applyFill="1"/>
    <xf numFmtId="0" fontId="3" fillId="0" borderId="0" xfId="0" applyFont="1"/>
    <xf numFmtId="1" fontId="0" fillId="0" borderId="0" xfId="0" applyNumberFormat="1" applyFill="1"/>
    <xf numFmtId="1" fontId="0" fillId="0" borderId="0" xfId="0" applyNumberFormat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Border="1"/>
    <xf numFmtId="164" fontId="2" fillId="0" borderId="0" xfId="0" applyNumberFormat="1" applyFont="1" applyFill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4" fontId="0" fillId="0" borderId="0" xfId="0" applyNumberFormat="1" applyFill="1"/>
    <xf numFmtId="164" fontId="0" fillId="0" borderId="0" xfId="0" applyNumberFormat="1" applyBorder="1"/>
    <xf numFmtId="0" fontId="0" fillId="0" borderId="0" xfId="0" applyFont="1"/>
    <xf numFmtId="1" fontId="2" fillId="2" borderId="0" xfId="0" applyNumberFormat="1" applyFont="1" applyFill="1"/>
    <xf numFmtId="1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" fontId="0" fillId="0" borderId="0" xfId="0" applyNumberFormat="1" applyFill="1" applyBorder="1"/>
    <xf numFmtId="0" fontId="0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  <xf numFmtId="1" fontId="0" fillId="0" borderId="0" xfId="0" applyNumberFormat="1" applyFont="1" applyAlignment="1">
      <alignment horizontal="center"/>
    </xf>
    <xf numFmtId="0" fontId="0" fillId="0" borderId="0" xfId="0" applyFont="1" applyFill="1"/>
    <xf numFmtId="1" fontId="2" fillId="0" borderId="0" xfId="0" applyNumberFormat="1" applyFont="1" applyAlignment="1">
      <alignment horizontal="right" vertical="top" wrapText="1"/>
    </xf>
    <xf numFmtId="1" fontId="0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1" fontId="2" fillId="0" borderId="0" xfId="0" applyNumberFormat="1" applyFont="1" applyFill="1" applyAlignment="1">
      <alignment horizontal="right"/>
    </xf>
    <xf numFmtId="164" fontId="0" fillId="0" borderId="0" xfId="0" applyNumberFormat="1" applyFill="1" applyBorder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0" xfId="0" applyNumberFormat="1"/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 wrapText="1"/>
    </xf>
    <xf numFmtId="0" fontId="3" fillId="0" borderId="0" xfId="0" applyFont="1" applyFill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1" fontId="0" fillId="0" borderId="0" xfId="0" applyNumberFormat="1" applyFont="1"/>
    <xf numFmtId="0" fontId="0" fillId="0" borderId="0" xfId="0" applyAlignment="1">
      <alignment horizontal="center" vertical="top" wrapText="1"/>
    </xf>
    <xf numFmtId="0" fontId="0" fillId="0" borderId="0" xfId="0" applyFont="1" applyFill="1" applyBorder="1" applyAlignment="1">
      <alignment horizontal="center" vertical="top" wrapText="1"/>
    </xf>
    <xf numFmtId="164" fontId="0" fillId="0" borderId="0" xfId="0" applyNumberFormat="1" applyFont="1"/>
    <xf numFmtId="9" fontId="0" fillId="0" borderId="0" xfId="1" applyFont="1" applyFill="1"/>
    <xf numFmtId="164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 vertical="top" wrapText="1"/>
    </xf>
    <xf numFmtId="0" fontId="0" fillId="0" borderId="0" xfId="0" applyFont="1" applyBorder="1" applyAlignment="1">
      <alignment horizontal="center" vertical="top" wrapText="1"/>
    </xf>
    <xf numFmtId="0" fontId="0" fillId="0" borderId="0" xfId="0" applyAlignment="1">
      <alignment horizontal="right"/>
    </xf>
    <xf numFmtId="166" fontId="0" fillId="0" borderId="0" xfId="0" applyNumberFormat="1"/>
    <xf numFmtId="2" fontId="0" fillId="0" borderId="0" xfId="0" applyNumberFormat="1" applyFill="1"/>
    <xf numFmtId="0" fontId="0" fillId="0" borderId="0" xfId="0" applyFill="1" applyAlignment="1">
      <alignment horizontal="right"/>
    </xf>
    <xf numFmtId="166" fontId="0" fillId="0" borderId="0" xfId="0" applyNumberFormat="1" applyFill="1"/>
    <xf numFmtId="44" fontId="0" fillId="0" borderId="0" xfId="2" applyFont="1"/>
    <xf numFmtId="9" fontId="0" fillId="0" borderId="0" xfId="1" applyFont="1"/>
    <xf numFmtId="6" fontId="0" fillId="0" borderId="0" xfId="0" applyNumberFormat="1"/>
    <xf numFmtId="8" fontId="0" fillId="0" borderId="0" xfId="0" applyNumberFormat="1"/>
    <xf numFmtId="3" fontId="0" fillId="0" borderId="0" xfId="0" applyNumberFormat="1"/>
    <xf numFmtId="44" fontId="0" fillId="0" borderId="0" xfId="0" applyNumberFormat="1"/>
    <xf numFmtId="9" fontId="0" fillId="0" borderId="0" xfId="0" applyNumberFormat="1"/>
    <xf numFmtId="0" fontId="0" fillId="0" borderId="0" xfId="0" applyAlignment="1">
      <alignment vertical="top" wrapText="1"/>
    </xf>
    <xf numFmtId="0" fontId="0" fillId="3" borderId="0" xfId="0" applyFill="1"/>
    <xf numFmtId="0" fontId="0" fillId="0" borderId="1" xfId="0" applyFont="1" applyBorder="1"/>
    <xf numFmtId="1" fontId="0" fillId="0" borderId="1" xfId="0" applyNumberFormat="1" applyFont="1" applyBorder="1" applyAlignment="1">
      <alignment horizontal="right"/>
    </xf>
    <xf numFmtId="9" fontId="0" fillId="0" borderId="1" xfId="1" applyFont="1" applyFill="1" applyBorder="1"/>
    <xf numFmtId="1" fontId="0" fillId="0" borderId="1" xfId="0" applyNumberFormat="1" applyFill="1" applyBorder="1"/>
    <xf numFmtId="1" fontId="2" fillId="0" borderId="1" xfId="0" applyNumberFormat="1" applyFont="1" applyBorder="1" applyAlignment="1">
      <alignment horizontal="right" vertical="top" wrapText="1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Fill="1" applyBorder="1" applyAlignment="1">
      <alignment horizontal="right"/>
    </xf>
    <xf numFmtId="164" fontId="0" fillId="0" borderId="1" xfId="0" applyNumberFormat="1" applyFill="1" applyBorder="1"/>
    <xf numFmtId="164" fontId="0" fillId="0" borderId="1" xfId="0" applyNumberFormat="1" applyFont="1" applyBorder="1" applyAlignment="1">
      <alignment horizontal="right"/>
    </xf>
    <xf numFmtId="1" fontId="0" fillId="0" borderId="1" xfId="0" applyNumberFormat="1" applyFont="1" applyBorder="1"/>
    <xf numFmtId="164" fontId="0" fillId="0" borderId="1" xfId="0" applyNumberFormat="1" applyFont="1" applyBorder="1"/>
    <xf numFmtId="0" fontId="0" fillId="0" borderId="1" xfId="0" applyBorder="1"/>
    <xf numFmtId="1" fontId="0" fillId="0" borderId="1" xfId="0" applyNumberFormat="1" applyBorder="1" applyAlignment="1">
      <alignment horizontal="right"/>
    </xf>
    <xf numFmtId="164" fontId="0" fillId="0" borderId="1" xfId="0" applyNumberFormat="1" applyFill="1" applyBorder="1" applyAlignment="1">
      <alignment horizontal="right"/>
    </xf>
    <xf numFmtId="1" fontId="0" fillId="0" borderId="1" xfId="0" applyNumberFormat="1" applyBorder="1"/>
    <xf numFmtId="1" fontId="2" fillId="0" borderId="1" xfId="0" applyNumberFormat="1" applyFont="1" applyBorder="1"/>
    <xf numFmtId="1" fontId="2" fillId="0" borderId="1" xfId="0" applyNumberFormat="1" applyFont="1" applyFill="1" applyBorder="1"/>
    <xf numFmtId="0" fontId="0" fillId="0" borderId="0" xfId="0" applyFont="1" applyBorder="1"/>
    <xf numFmtId="0" fontId="0" fillId="0" borderId="1" xfId="0" applyFont="1" applyBorder="1" applyAlignment="1">
      <alignment horizontal="right"/>
    </xf>
    <xf numFmtId="0" fontId="0" fillId="0" borderId="2" xfId="0" applyFont="1" applyBorder="1"/>
    <xf numFmtId="1" fontId="0" fillId="0" borderId="2" xfId="0" applyNumberFormat="1" applyFont="1" applyBorder="1" applyAlignment="1">
      <alignment horizontal="right"/>
    </xf>
    <xf numFmtId="9" fontId="0" fillId="0" borderId="2" xfId="1" applyFont="1" applyFill="1" applyBorder="1"/>
    <xf numFmtId="1" fontId="0" fillId="0" borderId="2" xfId="0" applyNumberFormat="1" applyFill="1" applyBorder="1"/>
    <xf numFmtId="1" fontId="2" fillId="0" borderId="2" xfId="0" applyNumberFormat="1" applyFont="1" applyBorder="1" applyAlignment="1">
      <alignment horizontal="right" vertical="top" wrapText="1"/>
    </xf>
    <xf numFmtId="0" fontId="0" fillId="0" borderId="2" xfId="0" applyFont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164" fontId="0" fillId="0" borderId="2" xfId="0" applyNumberFormat="1" applyFill="1" applyBorder="1"/>
    <xf numFmtId="164" fontId="0" fillId="0" borderId="2" xfId="0" applyNumberFormat="1" applyFont="1" applyBorder="1" applyAlignment="1">
      <alignment horizontal="right"/>
    </xf>
    <xf numFmtId="1" fontId="0" fillId="0" borderId="2" xfId="0" applyNumberFormat="1" applyFont="1" applyBorder="1"/>
    <xf numFmtId="164" fontId="0" fillId="0" borderId="2" xfId="0" applyNumberFormat="1" applyFont="1" applyBorder="1"/>
    <xf numFmtId="1" fontId="0" fillId="0" borderId="0" xfId="0" applyNumberFormat="1" applyFont="1" applyBorder="1" applyAlignment="1">
      <alignment horizontal="right"/>
    </xf>
    <xf numFmtId="9" fontId="0" fillId="0" borderId="0" xfId="1" applyFont="1" applyFill="1" applyBorder="1"/>
    <xf numFmtId="1" fontId="2" fillId="0" borderId="0" xfId="0" applyNumberFormat="1" applyFont="1" applyBorder="1" applyAlignment="1">
      <alignment horizontal="right" vertical="top" wrapText="1"/>
    </xf>
    <xf numFmtId="0" fontId="0" fillId="0" borderId="0" xfId="0" applyFont="1" applyBorder="1" applyAlignment="1">
      <alignment horizontal="right"/>
    </xf>
    <xf numFmtId="1" fontId="2" fillId="0" borderId="0" xfId="0" applyNumberFormat="1" applyFont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164" fontId="0" fillId="0" borderId="0" xfId="0" applyNumberFormat="1" applyFont="1" applyBorder="1" applyAlignment="1">
      <alignment horizontal="right"/>
    </xf>
    <xf numFmtId="1" fontId="0" fillId="0" borderId="0" xfId="0" applyNumberFormat="1" applyFont="1" applyBorder="1"/>
    <xf numFmtId="164" fontId="0" fillId="0" borderId="0" xfId="0" applyNumberFormat="1" applyFont="1" applyBorder="1"/>
    <xf numFmtId="0" fontId="0" fillId="0" borderId="2" xfId="0" applyBorder="1"/>
    <xf numFmtId="1" fontId="0" fillId="0" borderId="2" xfId="0" applyNumberFormat="1" applyBorder="1" applyAlignment="1">
      <alignment horizontal="right"/>
    </xf>
    <xf numFmtId="164" fontId="0" fillId="0" borderId="2" xfId="0" applyNumberFormat="1" applyFill="1" applyBorder="1" applyAlignment="1">
      <alignment horizontal="right"/>
    </xf>
    <xf numFmtId="1" fontId="0" fillId="0" borderId="2" xfId="0" applyNumberFormat="1" applyBorder="1"/>
    <xf numFmtId="1" fontId="0" fillId="0" borderId="0" xfId="0" applyNumberFormat="1" applyBorder="1" applyAlignment="1">
      <alignment horizontal="right"/>
    </xf>
    <xf numFmtId="1" fontId="0" fillId="0" borderId="0" xfId="0" applyNumberFormat="1" applyBorder="1"/>
    <xf numFmtId="1" fontId="2" fillId="0" borderId="2" xfId="0" applyNumberFormat="1" applyFont="1" applyBorder="1"/>
    <xf numFmtId="1" fontId="2" fillId="0" borderId="0" xfId="0" applyNumberFormat="1" applyFont="1" applyBorder="1"/>
    <xf numFmtId="1" fontId="2" fillId="0" borderId="0" xfId="0" applyNumberFormat="1" applyFont="1" applyFill="1" applyBorder="1"/>
    <xf numFmtId="1" fontId="2" fillId="0" borderId="2" xfId="0" applyNumberFormat="1" applyFont="1" applyFill="1" applyBorder="1"/>
    <xf numFmtId="0" fontId="0" fillId="0" borderId="0" xfId="0" applyNumberFormat="1"/>
    <xf numFmtId="166" fontId="0" fillId="3" borderId="0" xfId="0" applyNumberFormat="1" applyFill="1"/>
    <xf numFmtId="1" fontId="0" fillId="3" borderId="0" xfId="0" applyNumberFormat="1" applyFill="1"/>
  </cellXfs>
  <cellStyles count="3">
    <cellStyle name="Currency" xfId="2" builtinId="4"/>
    <cellStyle name="Normal" xfId="0" builtinId="0"/>
    <cellStyle name="Percent" xfId="1" builtinId="5"/>
  </cellStyles>
  <dxfs count="67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66" formatCode="0.0"/>
    </dxf>
    <dxf>
      <numFmt numFmtId="2" formatCode="0.00"/>
    </dxf>
    <dxf>
      <numFmt numFmtId="0" formatCode="General"/>
    </dxf>
    <dxf>
      <alignment horizontal="center" vertical="top" textRotation="0" wrapText="1" indent="0" justifyLastLine="0" shrinkToFit="0" readingOrder="0"/>
    </dxf>
    <dxf>
      <fill>
        <patternFill patternType="solid">
          <fgColor indexed="64"/>
          <bgColor theme="9" tint="0.79998168889431442"/>
        </patternFill>
      </fill>
    </dxf>
    <dxf>
      <numFmt numFmtId="166" formatCode="0.0"/>
      <fill>
        <patternFill patternType="solid">
          <fgColor indexed="64"/>
          <bgColor theme="9" tint="0.79998168889431442"/>
        </patternFill>
      </fill>
    </dxf>
    <dxf>
      <numFmt numFmtId="166" formatCode="0.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numFmt numFmtId="1" formatCode="0"/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alignment horizontal="center" vertical="top" textRotation="0" wrapText="1" indent="0" justifyLastLine="0" shrinkToFit="0" readingOrder="0"/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leiman\Users\Research\_MyPapers&amp;Notes\AIAA%20Journal%20Space%20&amp;%20Rockets\IRR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 Factors"/>
      <sheetName val="Example"/>
      <sheetName val="Operations"/>
      <sheetName val="IRR-32x8061"/>
    </sheetNames>
    <sheetDataSet>
      <sheetData sheetId="0">
        <row r="3">
          <cell r="B3">
            <v>8000</v>
          </cell>
        </row>
      </sheetData>
      <sheetData sheetId="1"/>
      <sheetData sheetId="2"/>
      <sheetData sheetId="3">
        <row r="4">
          <cell r="B4">
            <v>7</v>
          </cell>
        </row>
        <row r="5">
          <cell r="B5">
            <v>0.2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D6974A0-81D3-4D2E-B5C0-04FABF355AE4}" autoFormatId="16" applyNumberFormats="0" applyBorderFormats="0" applyFontFormats="0" applyPatternFormats="0" applyAlignmentFormats="0" applyWidthHeightFormats="0">
  <queryTableRefresh nextId="15" unboundColumnsRight="1">
    <queryTableFields count="11">
      <queryTableField id="1" name="Configuration" tableColumnId="1"/>
      <queryTableField id="2" name="Set Point" tableColumnId="2"/>
      <queryTableField id="4" name="Efficiency" tableColumnId="4"/>
      <queryTableField id="5" name="Isp" tableColumnId="5"/>
      <queryTableField id="6" name="Thrust" tableColumnId="6"/>
      <queryTableField id="7" name="Dry Mass" tableColumnId="7"/>
      <queryTableField id="8" name="Propellant" tableColumnId="8"/>
      <queryTableField id="9" name="Payload" tableColumnId="9"/>
      <queryTableField id="3" name="Max Thrust Power" tableColumnId="3"/>
      <queryTableField id="11" name="Min Thrust Power" tableColumnId="11"/>
      <queryTableField id="10" dataBound="0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087033-CD98-4F32-A258-BA33DE2DB1FD}" name="configs" displayName="configs" ref="A1:J173" totalsRowShown="0" headerRowDxfId="20" dataDxfId="19">
  <autoFilter ref="A1:J173" xr:uid="{72DDF1A1-2538-42E4-8DFF-4274268D2CE3}"/>
  <tableColumns count="10">
    <tableColumn id="1" xr3:uid="{144196F6-CA81-461A-BE80-841145701A5B}" name="Configuration" dataDxfId="18"/>
    <tableColumn id="2" xr3:uid="{D635574E-1482-42B0-91FA-A1C11F0F4101}" name="Set Point" dataDxfId="17"/>
    <tableColumn id="3" xr3:uid="{F9D76524-D077-4146-9385-D519015C8153}" name="Max Thrust Power" dataDxfId="16"/>
    <tableColumn id="10" xr3:uid="{76894391-F995-46A0-B487-155A9B1AAAD3}" name="Min Thrust Power" dataDxfId="15">
      <calculatedColumnFormula>IF(ABS('350V Set-points'!$O2) &lt; _xlnm.Criteria,'350V Set-points'!$C2,0)</calculatedColumnFormula>
    </tableColumn>
    <tableColumn id="4" xr3:uid="{BBAEBD56-1A3F-4DFE-89FF-18A97E09763E}" name="Efficiency" dataDxfId="14"/>
    <tableColumn id="5" xr3:uid="{2BA57066-CC73-4FD2-B318-015C648E620D}" name="Isp" dataDxfId="13"/>
    <tableColumn id="6" xr3:uid="{CA4CB883-72F9-4EAA-8100-379A2DC2684E}" name="Thrust" dataDxfId="12"/>
    <tableColumn id="7" xr3:uid="{68C4E61E-2F4B-47A2-B6CF-F244C3E6171D}" name="Dry Mass" dataDxfId="11"/>
    <tableColumn id="8" xr3:uid="{E50BFB6F-2C7D-4C1F-9A6C-DA363E2A391B}" name="Propellant" dataDxfId="10"/>
    <tableColumn id="9" xr3:uid="{93800CF9-515F-40F1-9145-9CFDE14525F6}" name="Payload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24A8F13-9E08-41C7-A6E1-B27138B2517B}" name="configspec" displayName="configspec" ref="A1:K84" tableType="queryTable" totalsRowShown="0" headerRowDxfId="8">
  <autoFilter ref="A1:K84" xr:uid="{5264FF31-9D9E-449E-81F8-150D29B3852C}"/>
  <sortState xmlns:xlrd2="http://schemas.microsoft.com/office/spreadsheetml/2017/richdata2" ref="A2:K48">
    <sortCondition ref="A1:A48"/>
  </sortState>
  <tableColumns count="11">
    <tableColumn id="1" xr3:uid="{BCB25770-B23A-44C2-9D5D-48196E104746}" uniqueName="1" name="Configuration" queryTableFieldId="1"/>
    <tableColumn id="2" xr3:uid="{3788BD4A-AE84-4534-B765-DC0C91FEE6CA}" uniqueName="2" name="Set Point" queryTableFieldId="2" dataDxfId="7"/>
    <tableColumn id="4" xr3:uid="{848C66FB-804F-462E-AE26-A8F9666FE59B}" uniqueName="4" name="Efficiency" queryTableFieldId="4" dataDxfId="6"/>
    <tableColumn id="5" xr3:uid="{F3F11546-6C83-4755-B8AB-1626DF7CA0BF}" uniqueName="5" name="Isp" queryTableFieldId="5"/>
    <tableColumn id="6" xr3:uid="{684244B7-38C9-447B-94FB-87853FFA2AFC}" uniqueName="6" name="Thrust" queryTableFieldId="6" dataDxfId="5"/>
    <tableColumn id="7" xr3:uid="{13A5856F-58FC-4A7C-B8B9-23C8FB08EA55}" uniqueName="7" name="Dry Mass" queryTableFieldId="7" dataDxfId="4"/>
    <tableColumn id="8" xr3:uid="{39916B9C-43B3-4B47-8C53-02EEDBDF1B9F}" uniqueName="8" name="Propellant" queryTableFieldId="8" dataDxfId="3"/>
    <tableColumn id="9" xr3:uid="{B280E9BD-D094-4BC3-A8DF-6A1FF686DB60}" uniqueName="9" name="Payload" queryTableFieldId="9"/>
    <tableColumn id="3" xr3:uid="{8D88D714-0A41-44CF-903E-143FD0FD2191}" uniqueName="3" name="Max Thrust Power" queryTableFieldId="3" dataDxfId="2"/>
    <tableColumn id="11" xr3:uid="{24C44DAF-9055-4A91-9774-AB4AE31E6595}" uniqueName="11" name="Min Thrust Power" queryTableFieldId="11" dataDxfId="1"/>
    <tableColumn id="10" xr3:uid="{713D66E0-853A-4688-887C-43A0A48ED2B3}" uniqueName="10" name="Available Power" queryTableFieldId="10" dataDxfId="0">
      <calculatedColumnFormula>configspec[[#This Row],[Max Thrust Power]]+5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D474A-16F2-48E1-A3CF-BA897C3294DE}">
  <dimension ref="A2:B9"/>
  <sheetViews>
    <sheetView tabSelected="1" workbookViewId="0">
      <selection activeCell="B11" sqref="B11"/>
    </sheetView>
  </sheetViews>
  <sheetFormatPr defaultRowHeight="15" x14ac:dyDescent="0.25"/>
  <cols>
    <col min="1" max="1" width="18" customWidth="1"/>
    <col min="2" max="2" width="110" customWidth="1"/>
  </cols>
  <sheetData>
    <row r="2" spans="1:2" x14ac:dyDescent="0.25">
      <c r="A2" t="s">
        <v>111</v>
      </c>
      <c r="B2" t="s">
        <v>109</v>
      </c>
    </row>
    <row r="3" spans="1:2" x14ac:dyDescent="0.25">
      <c r="A3" t="s">
        <v>78</v>
      </c>
      <c r="B3" t="s">
        <v>110</v>
      </c>
    </row>
    <row r="4" spans="1:2" x14ac:dyDescent="0.25">
      <c r="A4" t="s">
        <v>107</v>
      </c>
      <c r="B4" t="s">
        <v>108</v>
      </c>
    </row>
    <row r="5" spans="1:2" x14ac:dyDescent="0.25">
      <c r="A5" t="s">
        <v>175</v>
      </c>
      <c r="B5" t="s">
        <v>176</v>
      </c>
    </row>
    <row r="6" spans="1:2" x14ac:dyDescent="0.25">
      <c r="A6" t="s">
        <v>189</v>
      </c>
      <c r="B6" t="s">
        <v>190</v>
      </c>
    </row>
    <row r="7" spans="1:2" x14ac:dyDescent="0.25">
      <c r="A7" t="s">
        <v>222</v>
      </c>
      <c r="B7" t="s">
        <v>223</v>
      </c>
    </row>
    <row r="8" spans="1:2" x14ac:dyDescent="0.25">
      <c r="A8" t="s">
        <v>224</v>
      </c>
      <c r="B8" t="s">
        <v>225</v>
      </c>
    </row>
    <row r="9" spans="1:2" x14ac:dyDescent="0.25">
      <c r="A9" t="s">
        <v>226</v>
      </c>
      <c r="B9" t="s">
        <v>227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1479F-5CFA-42C3-A840-65061CCB5983}">
  <dimension ref="A1:J173"/>
  <sheetViews>
    <sheetView workbookViewId="0">
      <selection activeCell="I2" sqref="I2"/>
    </sheetView>
  </sheetViews>
  <sheetFormatPr defaultRowHeight="15" x14ac:dyDescent="0.25"/>
  <cols>
    <col min="1" max="1" width="15.28515625" customWidth="1"/>
    <col min="2" max="2" width="12.85546875" customWidth="1"/>
    <col min="3" max="3" width="19.140625" customWidth="1"/>
    <col min="4" max="4" width="18" customWidth="1"/>
    <col min="5" max="8" width="12.85546875" customWidth="1"/>
    <col min="9" max="9" width="10.140625" customWidth="1"/>
  </cols>
  <sheetData>
    <row r="1" spans="1:10" s="66" customFormat="1" ht="30" x14ac:dyDescent="0.25">
      <c r="A1" s="47" t="s">
        <v>4</v>
      </c>
      <c r="B1" s="47" t="s">
        <v>183</v>
      </c>
      <c r="C1" s="47" t="s">
        <v>178</v>
      </c>
      <c r="D1" s="47" t="s">
        <v>179</v>
      </c>
      <c r="E1" s="47" t="s">
        <v>61</v>
      </c>
      <c r="F1" s="47" t="s">
        <v>62</v>
      </c>
      <c r="G1" s="47" t="s">
        <v>180</v>
      </c>
      <c r="H1" s="47" t="s">
        <v>177</v>
      </c>
      <c r="I1" s="47" t="s">
        <v>182</v>
      </c>
      <c r="J1" s="47" t="s">
        <v>188</v>
      </c>
    </row>
    <row r="2" spans="1:10" x14ac:dyDescent="0.25">
      <c r="A2">
        <f>IF(ABS('350V Set-points'!$O2) &lt; _xlnm.Criteria,'350V Set-points'!$A2,0)</f>
        <v>0</v>
      </c>
      <c r="B2" t="s">
        <v>184</v>
      </c>
      <c r="C2" s="12">
        <f>IF(ABS('350V Set-points'!$O2) &lt; _xlnm.Criteria,'350V Set-points'!$B2,0)</f>
        <v>0</v>
      </c>
      <c r="D2" s="12">
        <f>IF(ABS('350V Set-points'!$O2) &lt; _xlnm.Criteria,'350V Set-points'!$C2,0)</f>
        <v>0</v>
      </c>
      <c r="E2">
        <f>IF(ABS('350V Set-points'!$O2) &lt; _xlnm.Criteria,'350V Set-points'!$E2,0)</f>
        <v>0</v>
      </c>
      <c r="F2">
        <f>IF(ABS('350V Set-points'!$O2) &lt; _xlnm.Criteria,'350V Set-points'!$F2,0)</f>
        <v>0</v>
      </c>
      <c r="G2">
        <f>IF(ABS('350V Set-points'!$O2) &lt; _xlnm.Criteria,'350V Set-points'!$D2,0)</f>
        <v>0</v>
      </c>
      <c r="H2" s="55">
        <f>IF(ABS('350V Set-points'!$O2) &lt; _xlnm.Criteria,'350V Set-points'!$J2,0)</f>
        <v>0</v>
      </c>
      <c r="I2" s="55">
        <f>IF(ABS('350V Set-points'!$O2) &lt; _xlnm.Criteria,'350V Set-points'!$K2,0)</f>
        <v>0</v>
      </c>
      <c r="J2">
        <f>IF(ABS('350V Set-points'!$O2) &lt; _xlnm.Criteria,'350V Set-points'!$I2,0)</f>
        <v>0</v>
      </c>
    </row>
    <row r="3" spans="1:10" x14ac:dyDescent="0.25">
      <c r="A3">
        <f>IF(ABS('350V Set-points'!$O3) &lt; _xlnm.Criteria,'350V Set-points'!$A3,0)</f>
        <v>0</v>
      </c>
      <c r="B3" t="s">
        <v>184</v>
      </c>
      <c r="C3" s="12">
        <f>IF(ABS('350V Set-points'!$O3) &lt; _xlnm.Criteria,'350V Set-points'!$B3,0)</f>
        <v>0</v>
      </c>
      <c r="D3" s="12">
        <f>IF(ABS('350V Set-points'!$O3) &lt; _xlnm.Criteria,'350V Set-points'!$C3,0)</f>
        <v>0</v>
      </c>
      <c r="E3">
        <f>IF(ABS('350V Set-points'!$O3) &lt; _xlnm.Criteria,'350V Set-points'!$E3,0)</f>
        <v>0</v>
      </c>
      <c r="F3">
        <f>IF(ABS('350V Set-points'!$O3) &lt; _xlnm.Criteria,'350V Set-points'!$F3,0)</f>
        <v>0</v>
      </c>
      <c r="G3">
        <f>IF(ABS('350V Set-points'!$O3) &lt; _xlnm.Criteria,'350V Set-points'!$D3,0)</f>
        <v>0</v>
      </c>
      <c r="H3" s="55">
        <f>IF(ABS('350V Set-points'!$O3) &lt; _xlnm.Criteria,'350V Set-points'!$J3,0)</f>
        <v>0</v>
      </c>
      <c r="I3" s="55">
        <f>IF(ABS('350V Set-points'!$O3) &lt; _xlnm.Criteria,'350V Set-points'!$K3,0)</f>
        <v>0</v>
      </c>
      <c r="J3">
        <f>IF(ABS('350V Set-points'!$O3) &lt; _xlnm.Criteria,'350V Set-points'!$I3,0)</f>
        <v>0</v>
      </c>
    </row>
    <row r="4" spans="1:10" x14ac:dyDescent="0.25">
      <c r="A4">
        <f>IF(ABS('350V Set-points'!$O4) &lt; _xlnm.Criteria,'350V Set-points'!$A4,0)</f>
        <v>0</v>
      </c>
      <c r="B4" t="s">
        <v>184</v>
      </c>
      <c r="C4" s="12">
        <f>IF(ABS('350V Set-points'!$O4) &lt; _xlnm.Criteria,'350V Set-points'!$B4,0)</f>
        <v>0</v>
      </c>
      <c r="D4" s="12">
        <f>IF(ABS('350V Set-points'!$O4) &lt; _xlnm.Criteria,'350V Set-points'!$C4,0)</f>
        <v>0</v>
      </c>
      <c r="E4">
        <f>IF(ABS('350V Set-points'!$O4) &lt; _xlnm.Criteria,'350V Set-points'!$E4,0)</f>
        <v>0</v>
      </c>
      <c r="F4">
        <f>IF(ABS('350V Set-points'!$O4) &lt; _xlnm.Criteria,'350V Set-points'!$F4,0)</f>
        <v>0</v>
      </c>
      <c r="G4">
        <f>IF(ABS('350V Set-points'!$O4) &lt; _xlnm.Criteria,'350V Set-points'!$D4,0)</f>
        <v>0</v>
      </c>
      <c r="H4" s="55">
        <f>IF(ABS('350V Set-points'!$O4) &lt; _xlnm.Criteria,'350V Set-points'!$J4,0)</f>
        <v>0</v>
      </c>
      <c r="I4" s="55">
        <f>IF(ABS('350V Set-points'!$O4) &lt; _xlnm.Criteria,'350V Set-points'!$K4,0)</f>
        <v>0</v>
      </c>
      <c r="J4">
        <f>IF(ABS('350V Set-points'!$O4) &lt; _xlnm.Criteria,'350V Set-points'!$I4,0)</f>
        <v>0</v>
      </c>
    </row>
    <row r="5" spans="1:10" x14ac:dyDescent="0.25">
      <c r="A5">
        <f>IF(ABS('350V Set-points'!$O5) &lt; _xlnm.Criteria,'350V Set-points'!$A5,0)</f>
        <v>0</v>
      </c>
      <c r="B5" t="s">
        <v>184</v>
      </c>
      <c r="C5" s="12">
        <f>IF(ABS('350V Set-points'!$O5) &lt; _xlnm.Criteria,'350V Set-points'!$B5,0)</f>
        <v>0</v>
      </c>
      <c r="D5" s="12">
        <f>IF(ABS('350V Set-points'!$O5) &lt; _xlnm.Criteria,'350V Set-points'!$C5,0)</f>
        <v>0</v>
      </c>
      <c r="E5">
        <f>IF(ABS('350V Set-points'!$O5) &lt; _xlnm.Criteria,'350V Set-points'!$E5,0)</f>
        <v>0</v>
      </c>
      <c r="F5">
        <f>IF(ABS('350V Set-points'!$O5) &lt; _xlnm.Criteria,'350V Set-points'!$F5,0)</f>
        <v>0</v>
      </c>
      <c r="G5">
        <f>IF(ABS('350V Set-points'!$O5) &lt; _xlnm.Criteria,'350V Set-points'!$D5,0)</f>
        <v>0</v>
      </c>
      <c r="H5" s="55">
        <f>IF(ABS('350V Set-points'!$O5) &lt; _xlnm.Criteria,'350V Set-points'!$J5,0)</f>
        <v>0</v>
      </c>
      <c r="I5" s="55">
        <f>IF(ABS('350V Set-points'!$O5) &lt; _xlnm.Criteria,'350V Set-points'!$K5,0)</f>
        <v>0</v>
      </c>
      <c r="J5">
        <f>IF(ABS('350V Set-points'!$O5) &lt; _xlnm.Criteria,'350V Set-points'!$I5,0)</f>
        <v>0</v>
      </c>
    </row>
    <row r="6" spans="1:10" x14ac:dyDescent="0.25">
      <c r="A6">
        <f>IF(ABS('350V Set-points'!$O6) &lt; _xlnm.Criteria,'350V Set-points'!$A6,0)</f>
        <v>0</v>
      </c>
      <c r="B6" t="s">
        <v>184</v>
      </c>
      <c r="C6" s="12">
        <f>IF(ABS('350V Set-points'!$O6) &lt; _xlnm.Criteria,'350V Set-points'!$B6,0)</f>
        <v>0</v>
      </c>
      <c r="D6" s="12">
        <f>IF(ABS('350V Set-points'!$O6) &lt; _xlnm.Criteria,'350V Set-points'!$C6,0)</f>
        <v>0</v>
      </c>
      <c r="E6">
        <f>IF(ABS('350V Set-points'!$O6) &lt; _xlnm.Criteria,'350V Set-points'!$E6,0)</f>
        <v>0</v>
      </c>
      <c r="F6">
        <f>IF(ABS('350V Set-points'!$O6) &lt; _xlnm.Criteria,'350V Set-points'!$F6,0)</f>
        <v>0</v>
      </c>
      <c r="G6">
        <f>IF(ABS('350V Set-points'!$O6) &lt; _xlnm.Criteria,'350V Set-points'!$D6,0)</f>
        <v>0</v>
      </c>
      <c r="H6" s="55">
        <f>IF(ABS('350V Set-points'!$O6) &lt; _xlnm.Criteria,'350V Set-points'!$J6,0)</f>
        <v>0</v>
      </c>
      <c r="I6" s="55">
        <f>IF(ABS('350V Set-points'!$O6) &lt; _xlnm.Criteria,'350V Set-points'!$K6,0)</f>
        <v>0</v>
      </c>
      <c r="J6">
        <f>IF(ABS('350V Set-points'!$O6) &lt; _xlnm.Criteria,'350V Set-points'!$I6,0)</f>
        <v>0</v>
      </c>
    </row>
    <row r="7" spans="1:10" x14ac:dyDescent="0.25">
      <c r="A7">
        <f>IF(ABS('350V Set-points'!$O7) &lt; _xlnm.Criteria,'350V Set-points'!$A7,0)</f>
        <v>0</v>
      </c>
      <c r="B7" t="s">
        <v>184</v>
      </c>
      <c r="C7" s="12">
        <f>IF(ABS('350V Set-points'!$O7) &lt; _xlnm.Criteria,'350V Set-points'!$B7,0)</f>
        <v>0</v>
      </c>
      <c r="D7" s="12">
        <f>IF(ABS('350V Set-points'!$O7) &lt; _xlnm.Criteria,'350V Set-points'!$C7,0)</f>
        <v>0</v>
      </c>
      <c r="E7">
        <f>IF(ABS('350V Set-points'!$O7) &lt; _xlnm.Criteria,'350V Set-points'!$E7,0)</f>
        <v>0</v>
      </c>
      <c r="F7">
        <f>IF(ABS('350V Set-points'!$O7) &lt; _xlnm.Criteria,'350V Set-points'!$F7,0)</f>
        <v>0</v>
      </c>
      <c r="G7">
        <f>IF(ABS('350V Set-points'!$O7) &lt; _xlnm.Criteria,'350V Set-points'!$D7,0)</f>
        <v>0</v>
      </c>
      <c r="H7" s="55">
        <f>IF(ABS('350V Set-points'!$O7) &lt; _xlnm.Criteria,'350V Set-points'!$J7,0)</f>
        <v>0</v>
      </c>
      <c r="I7" s="55">
        <f>IF(ABS('350V Set-points'!$O7) &lt; _xlnm.Criteria,'350V Set-points'!$K7,0)</f>
        <v>0</v>
      </c>
      <c r="J7">
        <f>IF(ABS('350V Set-points'!$O7) &lt; _xlnm.Criteria,'350V Set-points'!$I7,0)</f>
        <v>0</v>
      </c>
    </row>
    <row r="8" spans="1:10" x14ac:dyDescent="0.25">
      <c r="A8" t="str">
        <f>IF(ABS('350V Set-points'!$O8) &lt; _xlnm.Criteria,'350V Set-points'!$A8,0)</f>
        <v>16 HET 8060W</v>
      </c>
      <c r="B8" t="s">
        <v>184</v>
      </c>
      <c r="C8" s="12">
        <f>IF(ABS('350V Set-points'!$O8) &lt; _xlnm.Criteria,'350V Set-points'!$B8,0)</f>
        <v>128.96</v>
      </c>
      <c r="D8" s="12">
        <f>IF(ABS('350V Set-points'!$O8) &lt; _xlnm.Criteria,'350V Set-points'!$C8,0)</f>
        <v>32.24</v>
      </c>
      <c r="E8">
        <f>IF(ABS('350V Set-points'!$O8) &lt; _xlnm.Criteria,'350V Set-points'!$E8,0)</f>
        <v>0.56000000000000005</v>
      </c>
      <c r="F8">
        <f>IF(ABS('350V Set-points'!$O8) &lt; _xlnm.Criteria,'350V Set-points'!$F8,0)</f>
        <v>1979</v>
      </c>
      <c r="G8">
        <f>IF(ABS('350V Set-points'!$O8) &lt; _xlnm.Criteria,'350V Set-points'!$D8,0)</f>
        <v>7.44</v>
      </c>
      <c r="H8" s="55">
        <f>IF(ABS('350V Set-points'!$O8) &lt; _xlnm.Criteria,'350V Set-points'!$J8,0)</f>
        <v>6500.3850000000002</v>
      </c>
      <c r="I8" s="55">
        <f>IF(ABS('350V Set-points'!$O8) &lt; _xlnm.Criteria,'350V Set-points'!$K8,0)</f>
        <v>4254.1546075964043</v>
      </c>
      <c r="J8">
        <f>IF(ABS('350V Set-points'!$O8) &lt; _xlnm.Criteria,'350V Set-points'!$I8,0)</f>
        <v>2000</v>
      </c>
    </row>
    <row r="9" spans="1:10" x14ac:dyDescent="0.25">
      <c r="A9">
        <f>IF(ABS('350V Set-points'!$O9) &lt; _xlnm.Criteria,'350V Set-points'!$A9,0)</f>
        <v>0</v>
      </c>
      <c r="B9" t="s">
        <v>184</v>
      </c>
      <c r="C9" s="12">
        <f>IF(ABS('350V Set-points'!$O9) &lt; _xlnm.Criteria,'350V Set-points'!$B9,0)</f>
        <v>0</v>
      </c>
      <c r="D9" s="12">
        <f>IF(ABS('350V Set-points'!$O9) &lt; _xlnm.Criteria,'350V Set-points'!$C9,0)</f>
        <v>0</v>
      </c>
      <c r="E9">
        <f>IF(ABS('350V Set-points'!$O9) &lt; _xlnm.Criteria,'350V Set-points'!$E9,0)</f>
        <v>0</v>
      </c>
      <c r="F9">
        <f>IF(ABS('350V Set-points'!$O9) &lt; _xlnm.Criteria,'350V Set-points'!$F9,0)</f>
        <v>0</v>
      </c>
      <c r="G9">
        <f>IF(ABS('350V Set-points'!$O9) &lt; _xlnm.Criteria,'350V Set-points'!$D9,0)</f>
        <v>0</v>
      </c>
      <c r="H9" s="55">
        <f>IF(ABS('350V Set-points'!$O9) &lt; _xlnm.Criteria,'350V Set-points'!$J9,0)</f>
        <v>0</v>
      </c>
      <c r="I9" s="55">
        <f>IF(ABS('350V Set-points'!$O9) &lt; _xlnm.Criteria,'350V Set-points'!$K9,0)</f>
        <v>0</v>
      </c>
      <c r="J9">
        <f>IF(ABS('350V Set-points'!$O9) &lt; _xlnm.Criteria,'350V Set-points'!$I9,0)</f>
        <v>0</v>
      </c>
    </row>
    <row r="10" spans="1:10" x14ac:dyDescent="0.25">
      <c r="A10">
        <f>IF(ABS('350V Set-points'!$O10) &lt; _xlnm.Criteria,'350V Set-points'!$A10,0)</f>
        <v>0</v>
      </c>
      <c r="B10" t="s">
        <v>184</v>
      </c>
      <c r="C10" s="12">
        <f>IF(ABS('350V Set-points'!$O10) &lt; _xlnm.Criteria,'350V Set-points'!$B10,0)</f>
        <v>0</v>
      </c>
      <c r="D10" s="12">
        <f>IF(ABS('350V Set-points'!$O10) &lt; _xlnm.Criteria,'350V Set-points'!$C10,0)</f>
        <v>0</v>
      </c>
      <c r="E10">
        <f>IF(ABS('350V Set-points'!$O10) &lt; _xlnm.Criteria,'350V Set-points'!$E10,0)</f>
        <v>0</v>
      </c>
      <c r="F10">
        <f>IF(ABS('350V Set-points'!$O10) &lt; _xlnm.Criteria,'350V Set-points'!$F10,0)</f>
        <v>0</v>
      </c>
      <c r="G10">
        <f>IF(ABS('350V Set-points'!$O10) &lt; _xlnm.Criteria,'350V Set-points'!$D10,0)</f>
        <v>0</v>
      </c>
      <c r="H10" s="55">
        <f>IF(ABS('350V Set-points'!$O10) &lt; _xlnm.Criteria,'350V Set-points'!$J10,0)</f>
        <v>0</v>
      </c>
      <c r="I10" s="55">
        <f>IF(ABS('350V Set-points'!$O10) &lt; _xlnm.Criteria,'350V Set-points'!$K10,0)</f>
        <v>0</v>
      </c>
      <c r="J10">
        <f>IF(ABS('350V Set-points'!$O10) &lt; _xlnm.Criteria,'350V Set-points'!$I10,0)</f>
        <v>0</v>
      </c>
    </row>
    <row r="11" spans="1:10" x14ac:dyDescent="0.25">
      <c r="A11">
        <f>IF(ABS('350V Set-points'!$O11) &lt; _xlnm.Criteria,'350V Set-points'!$A11,0)</f>
        <v>0</v>
      </c>
      <c r="B11" t="s">
        <v>184</v>
      </c>
      <c r="C11" s="12">
        <f>IF(ABS('350V Set-points'!$O11) &lt; _xlnm.Criteria,'350V Set-points'!$B11,0)</f>
        <v>0</v>
      </c>
      <c r="D11" s="12">
        <f>IF(ABS('350V Set-points'!$O11) &lt; _xlnm.Criteria,'350V Set-points'!$C11,0)</f>
        <v>0</v>
      </c>
      <c r="E11">
        <f>IF(ABS('350V Set-points'!$O11) &lt; _xlnm.Criteria,'350V Set-points'!$E11,0)</f>
        <v>0</v>
      </c>
      <c r="F11">
        <f>IF(ABS('350V Set-points'!$O11) &lt; _xlnm.Criteria,'350V Set-points'!$F11,0)</f>
        <v>0</v>
      </c>
      <c r="G11">
        <f>IF(ABS('350V Set-points'!$O11) &lt; _xlnm.Criteria,'350V Set-points'!$D11,0)</f>
        <v>0</v>
      </c>
      <c r="H11" s="55">
        <f>IF(ABS('350V Set-points'!$O11) &lt; _xlnm.Criteria,'350V Set-points'!$J11,0)</f>
        <v>0</v>
      </c>
      <c r="I11" s="55">
        <f>IF(ABS('350V Set-points'!$O11) &lt; _xlnm.Criteria,'350V Set-points'!$K11,0)</f>
        <v>0</v>
      </c>
      <c r="J11">
        <f>IF(ABS('350V Set-points'!$O11) &lt; _xlnm.Criteria,'350V Set-points'!$I11,0)</f>
        <v>0</v>
      </c>
    </row>
    <row r="12" spans="1:10" x14ac:dyDescent="0.25">
      <c r="A12">
        <f>IF(ABS('350V Set-points'!$O12) &lt; _xlnm.Criteria,'350V Set-points'!$A12,0)</f>
        <v>0</v>
      </c>
      <c r="B12" t="s">
        <v>184</v>
      </c>
      <c r="C12" s="12">
        <f>IF(ABS('350V Set-points'!$O12) &lt; _xlnm.Criteria,'350V Set-points'!$B12,0)</f>
        <v>0</v>
      </c>
      <c r="D12" s="12">
        <f>IF(ABS('350V Set-points'!$O12) &lt; _xlnm.Criteria,'350V Set-points'!$C12,0)</f>
        <v>0</v>
      </c>
      <c r="E12">
        <f>IF(ABS('350V Set-points'!$O12) &lt; _xlnm.Criteria,'350V Set-points'!$E12,0)</f>
        <v>0</v>
      </c>
      <c r="F12">
        <f>IF(ABS('350V Set-points'!$O12) &lt; _xlnm.Criteria,'350V Set-points'!$F12,0)</f>
        <v>0</v>
      </c>
      <c r="G12">
        <f>IF(ABS('350V Set-points'!$O12) &lt; _xlnm.Criteria,'350V Set-points'!$D12,0)</f>
        <v>0</v>
      </c>
      <c r="H12" s="55">
        <f>IF(ABS('350V Set-points'!$O12) &lt; _xlnm.Criteria,'350V Set-points'!$J12,0)</f>
        <v>0</v>
      </c>
      <c r="I12" s="55">
        <f>IF(ABS('350V Set-points'!$O12) &lt; _xlnm.Criteria,'350V Set-points'!$K12,0)</f>
        <v>0</v>
      </c>
      <c r="J12">
        <f>IF(ABS('350V Set-points'!$O12) &lt; _xlnm.Criteria,'350V Set-points'!$I12,0)</f>
        <v>0</v>
      </c>
    </row>
    <row r="13" spans="1:10" x14ac:dyDescent="0.25">
      <c r="A13">
        <f>IF(ABS('350V Set-points'!$O13) &lt; _xlnm.Criteria,'350V Set-points'!$A13,0)</f>
        <v>0</v>
      </c>
      <c r="B13" t="s">
        <v>184</v>
      </c>
      <c r="C13" s="12">
        <f>IF(ABS('350V Set-points'!$O13) &lt; _xlnm.Criteria,'350V Set-points'!$B13,0)</f>
        <v>0</v>
      </c>
      <c r="D13" s="12">
        <f>IF(ABS('350V Set-points'!$O13) &lt; _xlnm.Criteria,'350V Set-points'!$C13,0)</f>
        <v>0</v>
      </c>
      <c r="E13">
        <f>IF(ABS('350V Set-points'!$O13) &lt; _xlnm.Criteria,'350V Set-points'!$E13,0)</f>
        <v>0</v>
      </c>
      <c r="F13">
        <f>IF(ABS('350V Set-points'!$O13) &lt; _xlnm.Criteria,'350V Set-points'!$F13,0)</f>
        <v>0</v>
      </c>
      <c r="G13">
        <f>IF(ABS('350V Set-points'!$O13) &lt; _xlnm.Criteria,'350V Set-points'!$D13,0)</f>
        <v>0</v>
      </c>
      <c r="H13" s="55">
        <f>IF(ABS('350V Set-points'!$O13) &lt; _xlnm.Criteria,'350V Set-points'!$J13,0)</f>
        <v>0</v>
      </c>
      <c r="I13" s="55">
        <f>IF(ABS('350V Set-points'!$O13) &lt; _xlnm.Criteria,'350V Set-points'!$K13,0)</f>
        <v>0</v>
      </c>
      <c r="J13">
        <f>IF(ABS('350V Set-points'!$O13) &lt; _xlnm.Criteria,'350V Set-points'!$I13,0)</f>
        <v>0</v>
      </c>
    </row>
    <row r="14" spans="1:10" x14ac:dyDescent="0.25">
      <c r="A14" t="str">
        <f>IF(ABS('350V Set-points'!$O14) &lt; _xlnm.Criteria,'350V Set-points'!$A14,0)</f>
        <v>32 HET 5999W</v>
      </c>
      <c r="B14" t="s">
        <v>184</v>
      </c>
      <c r="C14" s="12">
        <f>IF(ABS('350V Set-points'!$O14) &lt; _xlnm.Criteria,'350V Set-points'!$B14,0)</f>
        <v>191.96800000000002</v>
      </c>
      <c r="D14" s="12">
        <f>IF(ABS('350V Set-points'!$O14) &lt; _xlnm.Criteria,'350V Set-points'!$C14,0)</f>
        <v>23.996000000000002</v>
      </c>
      <c r="E14">
        <f>IF(ABS('350V Set-points'!$O14) &lt; _xlnm.Criteria,'350V Set-points'!$E14,0)</f>
        <v>0.56999999999999995</v>
      </c>
      <c r="F14">
        <f>IF(ABS('350V Set-points'!$O14) &lt; _xlnm.Criteria,'350V Set-points'!$F14,0)</f>
        <v>1977</v>
      </c>
      <c r="G14">
        <f>IF(ABS('350V Set-points'!$O14) &lt; _xlnm.Criteria,'350V Set-points'!$D14,0)</f>
        <v>11.68</v>
      </c>
      <c r="H14" s="55">
        <f>IF(ABS('350V Set-points'!$O14) &lt; _xlnm.Criteria,'350V Set-points'!$J14,0)</f>
        <v>11060</v>
      </c>
      <c r="I14" s="55">
        <f>IF(ABS('350V Set-points'!$O14) &lt; _xlnm.Criteria,'350V Set-points'!$K14,0)</f>
        <v>7415.9900817809221</v>
      </c>
      <c r="J14">
        <f>IF(ABS('350V Set-points'!$O14) &lt; _xlnm.Criteria,'350V Set-points'!$I14,0)</f>
        <v>4000</v>
      </c>
    </row>
    <row r="15" spans="1:10" x14ac:dyDescent="0.25">
      <c r="A15">
        <f>IF(ABS('350V Set-points'!$O15) &lt; _xlnm.Criteria,'350V Set-points'!$A15,0)</f>
        <v>0</v>
      </c>
      <c r="B15" t="s">
        <v>184</v>
      </c>
      <c r="C15" s="12">
        <f>IF(ABS('350V Set-points'!$O15) &lt; _xlnm.Criteria,'350V Set-points'!$B15,0)</f>
        <v>0</v>
      </c>
      <c r="D15" s="12">
        <f>IF(ABS('350V Set-points'!$O15) &lt; _xlnm.Criteria,'350V Set-points'!$C15,0)</f>
        <v>0</v>
      </c>
      <c r="E15">
        <f>IF(ABS('350V Set-points'!$O15) &lt; _xlnm.Criteria,'350V Set-points'!$E15,0)</f>
        <v>0</v>
      </c>
      <c r="F15">
        <f>IF(ABS('350V Set-points'!$O15) &lt; _xlnm.Criteria,'350V Set-points'!$F15,0)</f>
        <v>0</v>
      </c>
      <c r="G15">
        <f>IF(ABS('350V Set-points'!$O15) &lt; _xlnm.Criteria,'350V Set-points'!$D15,0)</f>
        <v>0</v>
      </c>
      <c r="H15" s="55">
        <f>IF(ABS('350V Set-points'!$O15) &lt; _xlnm.Criteria,'350V Set-points'!$J15,0)</f>
        <v>0</v>
      </c>
      <c r="I15" s="55">
        <f>IF(ABS('350V Set-points'!$O15) &lt; _xlnm.Criteria,'350V Set-points'!$K15,0)</f>
        <v>0</v>
      </c>
      <c r="J15">
        <f>IF(ABS('350V Set-points'!$O15) &lt; _xlnm.Criteria,'350V Set-points'!$I15,0)</f>
        <v>0</v>
      </c>
    </row>
    <row r="16" spans="1:10" x14ac:dyDescent="0.25">
      <c r="A16">
        <f>IF(ABS('350V Set-points'!$O16) &lt; _xlnm.Criteria,'350V Set-points'!$A16,0)</f>
        <v>0</v>
      </c>
      <c r="B16" t="s">
        <v>184</v>
      </c>
      <c r="C16" s="12">
        <f>IF(ABS('350V Set-points'!$O16) &lt; _xlnm.Criteria,'350V Set-points'!$B16,0)</f>
        <v>0</v>
      </c>
      <c r="D16" s="12">
        <f>IF(ABS('350V Set-points'!$O16) &lt; _xlnm.Criteria,'350V Set-points'!$C16,0)</f>
        <v>0</v>
      </c>
      <c r="E16">
        <f>IF(ABS('350V Set-points'!$O16) &lt; _xlnm.Criteria,'350V Set-points'!$E16,0)</f>
        <v>0</v>
      </c>
      <c r="F16">
        <f>IF(ABS('350V Set-points'!$O16) &lt; _xlnm.Criteria,'350V Set-points'!$F16,0)</f>
        <v>0</v>
      </c>
      <c r="G16">
        <f>IF(ABS('350V Set-points'!$O16) &lt; _xlnm.Criteria,'350V Set-points'!$D16,0)</f>
        <v>0</v>
      </c>
      <c r="H16" s="55">
        <f>IF(ABS('350V Set-points'!$O16) &lt; _xlnm.Criteria,'350V Set-points'!$J16,0)</f>
        <v>0</v>
      </c>
      <c r="I16" s="55">
        <f>IF(ABS('350V Set-points'!$O16) &lt; _xlnm.Criteria,'350V Set-points'!$K16,0)</f>
        <v>0</v>
      </c>
      <c r="J16">
        <f>IF(ABS('350V Set-points'!$O16) &lt; _xlnm.Criteria,'350V Set-points'!$I16,0)</f>
        <v>0</v>
      </c>
    </row>
    <row r="17" spans="1:10" x14ac:dyDescent="0.25">
      <c r="A17" t="str">
        <f>IF(ABS('350V Set-points'!$O17) &lt; _xlnm.Criteria,'350V Set-points'!$A17,0)</f>
        <v>32 HET 8060W</v>
      </c>
      <c r="B17" t="s">
        <v>184</v>
      </c>
      <c r="C17" s="12">
        <f>IF(ABS('350V Set-points'!$O17) &lt; _xlnm.Criteria,'350V Set-points'!$B17,0)</f>
        <v>257.92</v>
      </c>
      <c r="D17" s="12">
        <f>IF(ABS('350V Set-points'!$O17) &lt; _xlnm.Criteria,'350V Set-points'!$C17,0)</f>
        <v>32.24</v>
      </c>
      <c r="E17">
        <f>IF(ABS('350V Set-points'!$O17) &lt; _xlnm.Criteria,'350V Set-points'!$E17,0)</f>
        <v>0.56000000000000005</v>
      </c>
      <c r="F17">
        <f>IF(ABS('350V Set-points'!$O17) &lt; _xlnm.Criteria,'350V Set-points'!$F17,0)</f>
        <v>1979</v>
      </c>
      <c r="G17">
        <f>IF(ABS('350V Set-points'!$O17) &lt; _xlnm.Criteria,'350V Set-points'!$D17,0)</f>
        <v>14.88</v>
      </c>
      <c r="H17" s="55">
        <f>IF(ABS('350V Set-points'!$O17) &lt; _xlnm.Criteria,'350V Set-points'!$J17,0)</f>
        <v>14855</v>
      </c>
      <c r="I17" s="55">
        <f>IF(ABS('350V Set-points'!$O17) &lt; _xlnm.Criteria,'350V Set-points'!$K17,0)</f>
        <v>10127.204206001932</v>
      </c>
      <c r="J17">
        <f>IF(ABS('350V Set-points'!$O17) &lt; _xlnm.Criteria,'350V Set-points'!$I17,0)</f>
        <v>6000</v>
      </c>
    </row>
    <row r="18" spans="1:10" x14ac:dyDescent="0.25">
      <c r="A18">
        <f>IF(ABS('350V Set-points'!$O18) &lt; _xlnm.Criteria,'350V Set-points'!$A18,0)</f>
        <v>0</v>
      </c>
      <c r="B18" t="s">
        <v>184</v>
      </c>
      <c r="C18" s="12">
        <f>IF(ABS('350V Set-points'!$O18) &lt; _xlnm.Criteria,'350V Set-points'!$B18,0)</f>
        <v>0</v>
      </c>
      <c r="D18" s="12">
        <f>IF(ABS('350V Set-points'!$O18) &lt; _xlnm.Criteria,'350V Set-points'!$C18,0)</f>
        <v>0</v>
      </c>
      <c r="E18">
        <f>IF(ABS('350V Set-points'!$O18) &lt; _xlnm.Criteria,'350V Set-points'!$E18,0)</f>
        <v>0</v>
      </c>
      <c r="F18">
        <f>IF(ABS('350V Set-points'!$O18) &lt; _xlnm.Criteria,'350V Set-points'!$F18,0)</f>
        <v>0</v>
      </c>
      <c r="G18">
        <f>IF(ABS('350V Set-points'!$O18) &lt; _xlnm.Criteria,'350V Set-points'!$D18,0)</f>
        <v>0</v>
      </c>
      <c r="H18" s="55">
        <f>IF(ABS('350V Set-points'!$O18) &lt; _xlnm.Criteria,'350V Set-points'!$J18,0)</f>
        <v>0</v>
      </c>
      <c r="I18" s="55">
        <f>IF(ABS('350V Set-points'!$O18) &lt; _xlnm.Criteria,'350V Set-points'!$K18,0)</f>
        <v>0</v>
      </c>
      <c r="J18">
        <f>IF(ABS('350V Set-points'!$O18) &lt; _xlnm.Criteria,'350V Set-points'!$I18,0)</f>
        <v>0</v>
      </c>
    </row>
    <row r="19" spans="1:10" x14ac:dyDescent="0.25">
      <c r="A19">
        <f>IF(ABS('350V Set-points'!$O19) &lt; _xlnm.Criteria,'350V Set-points'!$A19,0)</f>
        <v>0</v>
      </c>
      <c r="B19" t="s">
        <v>184</v>
      </c>
      <c r="C19" s="12">
        <f>IF(ABS('350V Set-points'!$O19) &lt; _xlnm.Criteria,'350V Set-points'!$B19,0)</f>
        <v>0</v>
      </c>
      <c r="D19" s="12">
        <f>IF(ABS('350V Set-points'!$O19) &lt; _xlnm.Criteria,'350V Set-points'!$C19,0)</f>
        <v>0</v>
      </c>
      <c r="E19">
        <f>IF(ABS('350V Set-points'!$O19) &lt; _xlnm.Criteria,'350V Set-points'!$E19,0)</f>
        <v>0</v>
      </c>
      <c r="F19">
        <f>IF(ABS('350V Set-points'!$O19) &lt; _xlnm.Criteria,'350V Set-points'!$F19,0)</f>
        <v>0</v>
      </c>
      <c r="G19">
        <f>IF(ABS('350V Set-points'!$O19) &lt; _xlnm.Criteria,'350V Set-points'!$D19,0)</f>
        <v>0</v>
      </c>
      <c r="H19" s="55">
        <f>IF(ABS('350V Set-points'!$O19) &lt; _xlnm.Criteria,'350V Set-points'!$J19,0)</f>
        <v>0</v>
      </c>
      <c r="I19" s="55">
        <f>IF(ABS('350V Set-points'!$O19) &lt; _xlnm.Criteria,'350V Set-points'!$K19,0)</f>
        <v>0</v>
      </c>
      <c r="J19">
        <f>IF(ABS('350V Set-points'!$O19) &lt; _xlnm.Criteria,'350V Set-points'!$I19,0)</f>
        <v>0</v>
      </c>
    </row>
    <row r="20" spans="1:10" x14ac:dyDescent="0.25">
      <c r="A20">
        <f>IF(ABS('350V Set-points'!$O20) &lt; _xlnm.Criteria,'350V Set-points'!$A20,0)</f>
        <v>0</v>
      </c>
      <c r="B20" t="s">
        <v>184</v>
      </c>
      <c r="C20" s="12">
        <f>IF(ABS('350V Set-points'!$O20) &lt; _xlnm.Criteria,'350V Set-points'!$B20,0)</f>
        <v>0</v>
      </c>
      <c r="D20" s="12">
        <f>IF(ABS('350V Set-points'!$O20) &lt; _xlnm.Criteria,'350V Set-points'!$C20,0)</f>
        <v>0</v>
      </c>
      <c r="E20">
        <f>IF(ABS('350V Set-points'!$O20) &lt; _xlnm.Criteria,'350V Set-points'!$E20,0)</f>
        <v>0</v>
      </c>
      <c r="F20">
        <f>IF(ABS('350V Set-points'!$O20) &lt; _xlnm.Criteria,'350V Set-points'!$F20,0)</f>
        <v>0</v>
      </c>
      <c r="G20">
        <f>IF(ABS('350V Set-points'!$O20) &lt; _xlnm.Criteria,'350V Set-points'!$D20,0)</f>
        <v>0</v>
      </c>
      <c r="H20" s="55">
        <f>IF(ABS('350V Set-points'!$O20) &lt; _xlnm.Criteria,'350V Set-points'!$J20,0)</f>
        <v>0</v>
      </c>
      <c r="I20" s="55">
        <f>IF(ABS('350V Set-points'!$O20) &lt; _xlnm.Criteria,'350V Set-points'!$K20,0)</f>
        <v>0</v>
      </c>
      <c r="J20">
        <f>IF(ABS('350V Set-points'!$O20) &lt; _xlnm.Criteria,'350V Set-points'!$I20,0)</f>
        <v>0</v>
      </c>
    </row>
    <row r="21" spans="1:10" x14ac:dyDescent="0.25">
      <c r="A21">
        <f>IF(ABS('350V Set-points'!$O21) &lt; _xlnm.Criteria,'350V Set-points'!$A21,0)</f>
        <v>0</v>
      </c>
      <c r="B21" t="s">
        <v>184</v>
      </c>
      <c r="C21" s="12">
        <f>IF(ABS('350V Set-points'!$O21) &lt; _xlnm.Criteria,'350V Set-points'!$B21,0)</f>
        <v>0</v>
      </c>
      <c r="D21" s="12">
        <f>IF(ABS('350V Set-points'!$O21) &lt; _xlnm.Criteria,'350V Set-points'!$C21,0)</f>
        <v>0</v>
      </c>
      <c r="E21">
        <f>IF(ABS('350V Set-points'!$O21) &lt; _xlnm.Criteria,'350V Set-points'!$E21,0)</f>
        <v>0</v>
      </c>
      <c r="F21">
        <f>IF(ABS('350V Set-points'!$O21) &lt; _xlnm.Criteria,'350V Set-points'!$F21,0)</f>
        <v>0</v>
      </c>
      <c r="G21">
        <f>IF(ABS('350V Set-points'!$O21) &lt; _xlnm.Criteria,'350V Set-points'!$D21,0)</f>
        <v>0</v>
      </c>
      <c r="H21" s="55">
        <f>IF(ABS('350V Set-points'!$O21) &lt; _xlnm.Criteria,'350V Set-points'!$J21,0)</f>
        <v>0</v>
      </c>
      <c r="I21" s="55">
        <f>IF(ABS('350V Set-points'!$O21) &lt; _xlnm.Criteria,'350V Set-points'!$K21,0)</f>
        <v>0</v>
      </c>
      <c r="J21">
        <f>IF(ABS('350V Set-points'!$O21) &lt; _xlnm.Criteria,'350V Set-points'!$I21,0)</f>
        <v>0</v>
      </c>
    </row>
    <row r="22" spans="1:10" x14ac:dyDescent="0.25">
      <c r="A22">
        <f>IF(ABS('350V Set-points'!$O22) &lt; _xlnm.Criteria,'350V Set-points'!$A22,0)</f>
        <v>0</v>
      </c>
      <c r="B22" t="s">
        <v>184</v>
      </c>
      <c r="C22" s="12">
        <f>IF(ABS('350V Set-points'!$O22) &lt; _xlnm.Criteria,'350V Set-points'!$B22,0)</f>
        <v>0</v>
      </c>
      <c r="D22" s="12">
        <f>IF(ABS('350V Set-points'!$O22) &lt; _xlnm.Criteria,'350V Set-points'!$C22,0)</f>
        <v>0</v>
      </c>
      <c r="E22">
        <f>IF(ABS('350V Set-points'!$O22) &lt; _xlnm.Criteria,'350V Set-points'!$E22,0)</f>
        <v>0</v>
      </c>
      <c r="F22">
        <f>IF(ABS('350V Set-points'!$O22) &lt; _xlnm.Criteria,'350V Set-points'!$F22,0)</f>
        <v>0</v>
      </c>
      <c r="G22">
        <f>IF(ABS('350V Set-points'!$O22) &lt; _xlnm.Criteria,'350V Set-points'!$D22,0)</f>
        <v>0</v>
      </c>
      <c r="H22" s="55">
        <f>IF(ABS('350V Set-points'!$O22) &lt; _xlnm.Criteria,'350V Set-points'!$J22,0)</f>
        <v>0</v>
      </c>
      <c r="I22" s="55">
        <f>IF(ABS('350V Set-points'!$O22) &lt; _xlnm.Criteria,'350V Set-points'!$K22,0)</f>
        <v>0</v>
      </c>
      <c r="J22">
        <f>IF(ABS('350V Set-points'!$O22) &lt; _xlnm.Criteria,'350V Set-points'!$I22,0)</f>
        <v>0</v>
      </c>
    </row>
    <row r="23" spans="1:10" x14ac:dyDescent="0.25">
      <c r="A23">
        <f>IF(ABS('350V Set-points'!$O23) &lt; _xlnm.Criteria,'350V Set-points'!$A23,0)</f>
        <v>0</v>
      </c>
      <c r="B23" t="s">
        <v>184</v>
      </c>
      <c r="C23" s="12">
        <f>IF(ABS('350V Set-points'!$O23) &lt; _xlnm.Criteria,'350V Set-points'!$B23,0)</f>
        <v>0</v>
      </c>
      <c r="D23" s="12">
        <f>IF(ABS('350V Set-points'!$O23) &lt; _xlnm.Criteria,'350V Set-points'!$C23,0)</f>
        <v>0</v>
      </c>
      <c r="E23">
        <f>IF(ABS('350V Set-points'!$O23) &lt; _xlnm.Criteria,'350V Set-points'!$E23,0)</f>
        <v>0</v>
      </c>
      <c r="F23">
        <f>IF(ABS('350V Set-points'!$O23) &lt; _xlnm.Criteria,'350V Set-points'!$F23,0)</f>
        <v>0</v>
      </c>
      <c r="G23">
        <f>IF(ABS('350V Set-points'!$O23) &lt; _xlnm.Criteria,'350V Set-points'!$D23,0)</f>
        <v>0</v>
      </c>
      <c r="H23" s="55">
        <f>IF(ABS('350V Set-points'!$O23) &lt; _xlnm.Criteria,'350V Set-points'!$J23,0)</f>
        <v>0</v>
      </c>
      <c r="I23" s="55">
        <f>IF(ABS('350V Set-points'!$O23) &lt; _xlnm.Criteria,'350V Set-points'!$K23,0)</f>
        <v>0</v>
      </c>
      <c r="J23">
        <f>IF(ABS('350V Set-points'!$O23) &lt; _xlnm.Criteria,'350V Set-points'!$I23,0)</f>
        <v>0</v>
      </c>
    </row>
    <row r="24" spans="1:10" x14ac:dyDescent="0.25">
      <c r="A24">
        <f>IF(ABS('350V Set-points'!$O24) &lt; _xlnm.Criteria,'350V Set-points'!$A24,0)</f>
        <v>0</v>
      </c>
      <c r="B24" t="s">
        <v>184</v>
      </c>
      <c r="C24" s="12">
        <f>IF(ABS('350V Set-points'!$O24) &lt; _xlnm.Criteria,'350V Set-points'!$B24,0)</f>
        <v>0</v>
      </c>
      <c r="D24" s="12">
        <f>IF(ABS('350V Set-points'!$O24) &lt; _xlnm.Criteria,'350V Set-points'!$C24,0)</f>
        <v>0</v>
      </c>
      <c r="E24">
        <f>IF(ABS('350V Set-points'!$O24) &lt; _xlnm.Criteria,'350V Set-points'!$E24,0)</f>
        <v>0</v>
      </c>
      <c r="F24">
        <f>IF(ABS('350V Set-points'!$O24) &lt; _xlnm.Criteria,'350V Set-points'!$F24,0)</f>
        <v>0</v>
      </c>
      <c r="G24">
        <f>IF(ABS('350V Set-points'!$O24) &lt; _xlnm.Criteria,'350V Set-points'!$D24,0)</f>
        <v>0</v>
      </c>
      <c r="H24" s="55">
        <f>IF(ABS('350V Set-points'!$O24) &lt; _xlnm.Criteria,'350V Set-points'!$J24,0)</f>
        <v>0</v>
      </c>
      <c r="I24" s="55">
        <f>IF(ABS('350V Set-points'!$O24) &lt; _xlnm.Criteria,'350V Set-points'!$K24,0)</f>
        <v>0</v>
      </c>
      <c r="J24">
        <f>IF(ABS('350V Set-points'!$O24) &lt; _xlnm.Criteria,'350V Set-points'!$I24,0)</f>
        <v>0</v>
      </c>
    </row>
    <row r="25" spans="1:10" x14ac:dyDescent="0.25">
      <c r="A25">
        <f>IF(ABS('350V Set-points'!$O25) &lt; _xlnm.Criteria,'350V Set-points'!$A25,0)</f>
        <v>0</v>
      </c>
      <c r="B25" t="s">
        <v>184</v>
      </c>
      <c r="C25" s="12">
        <f>IF(ABS('350V Set-points'!$O25) &lt; _xlnm.Criteria,'350V Set-points'!$B25,0)</f>
        <v>0</v>
      </c>
      <c r="D25" s="12">
        <f>IF(ABS('350V Set-points'!$O25) &lt; _xlnm.Criteria,'350V Set-points'!$C25,0)</f>
        <v>0</v>
      </c>
      <c r="E25">
        <f>IF(ABS('350V Set-points'!$O25) &lt; _xlnm.Criteria,'350V Set-points'!$E25,0)</f>
        <v>0</v>
      </c>
      <c r="F25">
        <f>IF(ABS('350V Set-points'!$O25) &lt; _xlnm.Criteria,'350V Set-points'!$F25,0)</f>
        <v>0</v>
      </c>
      <c r="G25">
        <f>IF(ABS('350V Set-points'!$O25) &lt; _xlnm.Criteria,'350V Set-points'!$D25,0)</f>
        <v>0</v>
      </c>
      <c r="H25" s="55">
        <f>IF(ABS('350V Set-points'!$O25) &lt; _xlnm.Criteria,'350V Set-points'!$J25,0)</f>
        <v>0</v>
      </c>
      <c r="I25" s="55">
        <f>IF(ABS('350V Set-points'!$O25) &lt; _xlnm.Criteria,'350V Set-points'!$K25,0)</f>
        <v>0</v>
      </c>
      <c r="J25">
        <f>IF(ABS('350V Set-points'!$O25) &lt; _xlnm.Criteria,'350V Set-points'!$I25,0)</f>
        <v>0</v>
      </c>
    </row>
    <row r="26" spans="1:10" x14ac:dyDescent="0.25">
      <c r="A26">
        <f>IF(ABS('350V Set-points'!$O26) &lt; _xlnm.Criteria,'350V Set-points'!$A26,0)</f>
        <v>0</v>
      </c>
      <c r="B26" t="s">
        <v>184</v>
      </c>
      <c r="C26" s="12">
        <f>IF(ABS('350V Set-points'!$O26) &lt; _xlnm.Criteria,'350V Set-points'!$B26,0)</f>
        <v>0</v>
      </c>
      <c r="D26" s="12">
        <f>IF(ABS('350V Set-points'!$O26) &lt; _xlnm.Criteria,'350V Set-points'!$C26,0)</f>
        <v>0</v>
      </c>
      <c r="E26">
        <f>IF(ABS('350V Set-points'!$O26) &lt; _xlnm.Criteria,'350V Set-points'!$E26,0)</f>
        <v>0</v>
      </c>
      <c r="F26">
        <f>IF(ABS('350V Set-points'!$O26) &lt; _xlnm.Criteria,'350V Set-points'!$F26,0)</f>
        <v>0</v>
      </c>
      <c r="G26">
        <f>IF(ABS('350V Set-points'!$O26) &lt; _xlnm.Criteria,'350V Set-points'!$D26,0)</f>
        <v>0</v>
      </c>
      <c r="H26" s="55">
        <f>IF(ABS('350V Set-points'!$O26) &lt; _xlnm.Criteria,'350V Set-points'!$J26,0)</f>
        <v>0</v>
      </c>
      <c r="I26" s="55">
        <f>IF(ABS('350V Set-points'!$O26) &lt; _xlnm.Criteria,'350V Set-points'!$K26,0)</f>
        <v>0</v>
      </c>
      <c r="J26">
        <f>IF(ABS('350V Set-points'!$O26) &lt; _xlnm.Criteria,'350V Set-points'!$I26,0)</f>
        <v>0</v>
      </c>
    </row>
    <row r="27" spans="1:10" x14ac:dyDescent="0.25">
      <c r="A27">
        <f>IF(ABS('350V Set-points'!$O27) &lt; _xlnm.Criteria,'350V Set-points'!$A27,0)</f>
        <v>0</v>
      </c>
      <c r="B27" t="s">
        <v>184</v>
      </c>
      <c r="C27" s="12">
        <f>IF(ABS('350V Set-points'!$O27) &lt; _xlnm.Criteria,'350V Set-points'!$B27,0)</f>
        <v>0</v>
      </c>
      <c r="D27" s="12">
        <f>IF(ABS('350V Set-points'!$O27) &lt; _xlnm.Criteria,'350V Set-points'!$C27,0)</f>
        <v>0</v>
      </c>
      <c r="E27">
        <f>IF(ABS('350V Set-points'!$O27) &lt; _xlnm.Criteria,'350V Set-points'!$E27,0)</f>
        <v>0</v>
      </c>
      <c r="F27">
        <f>IF(ABS('350V Set-points'!$O27) &lt; _xlnm.Criteria,'350V Set-points'!$F27,0)</f>
        <v>0</v>
      </c>
      <c r="G27">
        <f>IF(ABS('350V Set-points'!$O27) &lt; _xlnm.Criteria,'350V Set-points'!$D27,0)</f>
        <v>0</v>
      </c>
      <c r="H27" s="55">
        <f>IF(ABS('350V Set-points'!$O27) &lt; _xlnm.Criteria,'350V Set-points'!$J27,0)</f>
        <v>0</v>
      </c>
      <c r="I27" s="55">
        <f>IF(ABS('350V Set-points'!$O27) &lt; _xlnm.Criteria,'350V Set-points'!$K27,0)</f>
        <v>0</v>
      </c>
      <c r="J27">
        <f>IF(ABS('350V Set-points'!$O27) &lt; _xlnm.Criteria,'350V Set-points'!$I27,0)</f>
        <v>0</v>
      </c>
    </row>
    <row r="28" spans="1:10" x14ac:dyDescent="0.25">
      <c r="A28">
        <f>IF(ABS('350V Set-points'!$O28) &lt; _xlnm.Criteria,'350V Set-points'!$A28,0)</f>
        <v>0</v>
      </c>
      <c r="B28" t="s">
        <v>184</v>
      </c>
      <c r="C28" s="12">
        <f>IF(ABS('350V Set-points'!$O28) &lt; _xlnm.Criteria,'350V Set-points'!$B28,0)</f>
        <v>0</v>
      </c>
      <c r="D28" s="12">
        <f>IF(ABS('350V Set-points'!$O28) &lt; _xlnm.Criteria,'350V Set-points'!$C28,0)</f>
        <v>0</v>
      </c>
      <c r="E28">
        <f>IF(ABS('350V Set-points'!$O28) &lt; _xlnm.Criteria,'350V Set-points'!$E28,0)</f>
        <v>0</v>
      </c>
      <c r="F28">
        <f>IF(ABS('350V Set-points'!$O28) &lt; _xlnm.Criteria,'350V Set-points'!$F28,0)</f>
        <v>0</v>
      </c>
      <c r="G28">
        <f>IF(ABS('350V Set-points'!$O28) &lt; _xlnm.Criteria,'350V Set-points'!$D28,0)</f>
        <v>0</v>
      </c>
      <c r="H28" s="55">
        <f>IF(ABS('350V Set-points'!$O28) &lt; _xlnm.Criteria,'350V Set-points'!$J28,0)</f>
        <v>0</v>
      </c>
      <c r="I28" s="55">
        <f>IF(ABS('350V Set-points'!$O28) &lt; _xlnm.Criteria,'350V Set-points'!$K28,0)</f>
        <v>0</v>
      </c>
      <c r="J28">
        <f>IF(ABS('350V Set-points'!$O28) &lt; _xlnm.Criteria,'350V Set-points'!$I28,0)</f>
        <v>0</v>
      </c>
    </row>
    <row r="29" spans="1:10" x14ac:dyDescent="0.25">
      <c r="A29" t="str">
        <f>IF(ABS('350V Set-points'!$O29) &lt; _xlnm.Criteria,'350V Set-points'!$A29,0)</f>
        <v>48 HET 8060W</v>
      </c>
      <c r="B29" t="s">
        <v>184</v>
      </c>
      <c r="C29" s="12">
        <f>IF(ABS('350V Set-points'!$O29) &lt; _xlnm.Criteria,'350V Set-points'!$B29,0)</f>
        <v>386.88</v>
      </c>
      <c r="D29" s="12">
        <f>IF(ABS('350V Set-points'!$O29) &lt; _xlnm.Criteria,'350V Set-points'!$C29,0)</f>
        <v>32.24</v>
      </c>
      <c r="E29">
        <f>IF(ABS('350V Set-points'!$O29) &lt; _xlnm.Criteria,'350V Set-points'!$E29,0)</f>
        <v>0.56000000000000005</v>
      </c>
      <c r="F29">
        <f>IF(ABS('350V Set-points'!$O29) &lt; _xlnm.Criteria,'350V Set-points'!$F29,0)</f>
        <v>1979</v>
      </c>
      <c r="G29">
        <f>IF(ABS('350V Set-points'!$O29) &lt; _xlnm.Criteria,'350V Set-points'!$D29,0)</f>
        <v>22.32</v>
      </c>
      <c r="H29" s="55">
        <f>IF(ABS('350V Set-points'!$O29) &lt; _xlnm.Criteria,'350V Set-points'!$J29,0)</f>
        <v>26348</v>
      </c>
      <c r="I29" s="55">
        <f>IF(ABS('350V Set-points'!$O29) &lt; _xlnm.Criteria,'350V Set-points'!$K29,0)</f>
        <v>18347.510593993306</v>
      </c>
      <c r="J29">
        <f>IF(ABS('350V Set-points'!$O29) &lt; _xlnm.Criteria,'350V Set-points'!$I29,0)</f>
        <v>12000</v>
      </c>
    </row>
    <row r="30" spans="1:10" x14ac:dyDescent="0.25">
      <c r="A30">
        <f>IF(ABS('350V Set-points'!$O30) &lt; _xlnm.Criteria,'350V Set-points'!$A30,0)</f>
        <v>0</v>
      </c>
      <c r="B30" t="s">
        <v>184</v>
      </c>
      <c r="C30" s="12">
        <f>IF(ABS('350V Set-points'!$O30) &lt; _xlnm.Criteria,'350V Set-points'!$B30,0)</f>
        <v>0</v>
      </c>
      <c r="D30" s="12">
        <f>IF(ABS('350V Set-points'!$O30) &lt; _xlnm.Criteria,'350V Set-points'!$C30,0)</f>
        <v>0</v>
      </c>
      <c r="E30">
        <f>IF(ABS('350V Set-points'!$O30) &lt; _xlnm.Criteria,'350V Set-points'!$E30,0)</f>
        <v>0</v>
      </c>
      <c r="F30">
        <f>IF(ABS('350V Set-points'!$O30) &lt; _xlnm.Criteria,'350V Set-points'!$F30,0)</f>
        <v>0</v>
      </c>
      <c r="G30">
        <f>IF(ABS('350V Set-points'!$O30) &lt; _xlnm.Criteria,'350V Set-points'!$D30,0)</f>
        <v>0</v>
      </c>
      <c r="H30" s="55">
        <f>IF(ABS('350V Set-points'!$O30) &lt; _xlnm.Criteria,'350V Set-points'!$J30,0)</f>
        <v>0</v>
      </c>
      <c r="I30" s="55">
        <f>IF(ABS('350V Set-points'!$O30) &lt; _xlnm.Criteria,'350V Set-points'!$K30,0)</f>
        <v>0</v>
      </c>
      <c r="J30">
        <f>IF(ABS('350V Set-points'!$O30) &lt; _xlnm.Criteria,'350V Set-points'!$I30,0)</f>
        <v>0</v>
      </c>
    </row>
    <row r="31" spans="1:10" x14ac:dyDescent="0.25">
      <c r="A31">
        <f>IF(ABS('350V Set-points'!$O31) &lt; _xlnm.Criteria,'350V Set-points'!$A31,0)</f>
        <v>0</v>
      </c>
      <c r="B31" t="s">
        <v>184</v>
      </c>
      <c r="C31" s="12">
        <f>IF(ABS('350V Set-points'!$O31) &lt; _xlnm.Criteria,'350V Set-points'!$B31,0)</f>
        <v>0</v>
      </c>
      <c r="D31" s="12">
        <f>IF(ABS('350V Set-points'!$O31) &lt; _xlnm.Criteria,'350V Set-points'!$C31,0)</f>
        <v>0</v>
      </c>
      <c r="E31">
        <f>IF(ABS('350V Set-points'!$O31) &lt; _xlnm.Criteria,'350V Set-points'!$E31,0)</f>
        <v>0</v>
      </c>
      <c r="F31">
        <f>IF(ABS('350V Set-points'!$O31) &lt; _xlnm.Criteria,'350V Set-points'!$F31,0)</f>
        <v>0</v>
      </c>
      <c r="G31">
        <f>IF(ABS('350V Set-points'!$O31) &lt; _xlnm.Criteria,'350V Set-points'!$D31,0)</f>
        <v>0</v>
      </c>
      <c r="H31" s="55">
        <f>IF(ABS('350V Set-points'!$O31) &lt; _xlnm.Criteria,'350V Set-points'!$J31,0)</f>
        <v>0</v>
      </c>
      <c r="I31" s="55">
        <f>IF(ABS('350V Set-points'!$O31) &lt; _xlnm.Criteria,'350V Set-points'!$K31,0)</f>
        <v>0</v>
      </c>
      <c r="J31">
        <f>IF(ABS('350V Set-points'!$O31) &lt; _xlnm.Criteria,'350V Set-points'!$I31,0)</f>
        <v>0</v>
      </c>
    </row>
    <row r="32" spans="1:10" x14ac:dyDescent="0.25">
      <c r="A32">
        <f>IF(ABS('350V Set-points'!$O32) &lt; _xlnm.Criteria,'350V Set-points'!$A32,0)</f>
        <v>0</v>
      </c>
      <c r="B32" t="s">
        <v>184</v>
      </c>
      <c r="C32" s="12">
        <f>IF(ABS('350V Set-points'!$O32) &lt; _xlnm.Criteria,'350V Set-points'!$B32,0)</f>
        <v>0</v>
      </c>
      <c r="D32" s="12">
        <f>IF(ABS('350V Set-points'!$O32) &lt; _xlnm.Criteria,'350V Set-points'!$C32,0)</f>
        <v>0</v>
      </c>
      <c r="E32">
        <f>IF(ABS('350V Set-points'!$O32) &lt; _xlnm.Criteria,'350V Set-points'!$E32,0)</f>
        <v>0</v>
      </c>
      <c r="F32">
        <f>IF(ABS('350V Set-points'!$O32) &lt; _xlnm.Criteria,'350V Set-points'!$F32,0)</f>
        <v>0</v>
      </c>
      <c r="G32">
        <f>IF(ABS('350V Set-points'!$O32) &lt; _xlnm.Criteria,'350V Set-points'!$D32,0)</f>
        <v>0</v>
      </c>
      <c r="H32" s="55">
        <f>IF(ABS('350V Set-points'!$O32) &lt; _xlnm.Criteria,'350V Set-points'!$J32,0)</f>
        <v>0</v>
      </c>
      <c r="I32" s="55">
        <f>IF(ABS('350V Set-points'!$O32) &lt; _xlnm.Criteria,'350V Set-points'!$K32,0)</f>
        <v>0</v>
      </c>
      <c r="J32">
        <f>IF(ABS('350V Set-points'!$O32) &lt; _xlnm.Criteria,'350V Set-points'!$I32,0)</f>
        <v>0</v>
      </c>
    </row>
    <row r="33" spans="1:10" x14ac:dyDescent="0.25">
      <c r="A33">
        <f>IF(ABS('350V Set-points'!$O33) &lt; _xlnm.Criteria,'350V Set-points'!$A33,0)</f>
        <v>0</v>
      </c>
      <c r="B33" t="s">
        <v>184</v>
      </c>
      <c r="C33" s="12">
        <f>IF(ABS('350V Set-points'!$O33) &lt; _xlnm.Criteria,'350V Set-points'!$B33,0)</f>
        <v>0</v>
      </c>
      <c r="D33" s="12">
        <f>IF(ABS('350V Set-points'!$O33) &lt; _xlnm.Criteria,'350V Set-points'!$C33,0)</f>
        <v>0</v>
      </c>
      <c r="E33">
        <f>IF(ABS('350V Set-points'!$O33) &lt; _xlnm.Criteria,'350V Set-points'!$E33,0)</f>
        <v>0</v>
      </c>
      <c r="F33">
        <f>IF(ABS('350V Set-points'!$O33) &lt; _xlnm.Criteria,'350V Set-points'!$F33,0)</f>
        <v>0</v>
      </c>
      <c r="G33">
        <f>IF(ABS('350V Set-points'!$O33) &lt; _xlnm.Criteria,'350V Set-points'!$D33,0)</f>
        <v>0</v>
      </c>
      <c r="H33" s="55">
        <f>IF(ABS('350V Set-points'!$O33) &lt; _xlnm.Criteria,'350V Set-points'!$J33,0)</f>
        <v>0</v>
      </c>
      <c r="I33" s="55">
        <f>IF(ABS('350V Set-points'!$O33) &lt; _xlnm.Criteria,'350V Set-points'!$K33,0)</f>
        <v>0</v>
      </c>
      <c r="J33">
        <f>IF(ABS('350V Set-points'!$O33) &lt; _xlnm.Criteria,'350V Set-points'!$I33,0)</f>
        <v>0</v>
      </c>
    </row>
    <row r="34" spans="1:10" x14ac:dyDescent="0.25">
      <c r="A34">
        <f>IF(ABS('350V Set-points'!$O34) &lt; _xlnm.Criteria,'350V Set-points'!$A34,0)</f>
        <v>0</v>
      </c>
      <c r="B34" t="s">
        <v>184</v>
      </c>
      <c r="C34" s="12">
        <f>IF(ABS('350V Set-points'!$O34) &lt; _xlnm.Criteria,'350V Set-points'!$B34,0)</f>
        <v>0</v>
      </c>
      <c r="D34" s="12">
        <f>IF(ABS('350V Set-points'!$O34) &lt; _xlnm.Criteria,'350V Set-points'!$C34,0)</f>
        <v>0</v>
      </c>
      <c r="E34">
        <f>IF(ABS('350V Set-points'!$O34) &lt; _xlnm.Criteria,'350V Set-points'!$E34,0)</f>
        <v>0</v>
      </c>
      <c r="F34">
        <f>IF(ABS('350V Set-points'!$O34) &lt; _xlnm.Criteria,'350V Set-points'!$F34,0)</f>
        <v>0</v>
      </c>
      <c r="G34">
        <f>IF(ABS('350V Set-points'!$O34) &lt; _xlnm.Criteria,'350V Set-points'!$D34,0)</f>
        <v>0</v>
      </c>
      <c r="H34" s="55">
        <f>IF(ABS('350V Set-points'!$O34) &lt; _xlnm.Criteria,'350V Set-points'!$J34,0)</f>
        <v>0</v>
      </c>
      <c r="I34" s="55">
        <f>IF(ABS('350V Set-points'!$O34) &lt; _xlnm.Criteria,'350V Set-points'!$K34,0)</f>
        <v>0</v>
      </c>
      <c r="J34">
        <f>IF(ABS('350V Set-points'!$O34) &lt; _xlnm.Criteria,'350V Set-points'!$I34,0)</f>
        <v>0</v>
      </c>
    </row>
    <row r="35" spans="1:10" x14ac:dyDescent="0.25">
      <c r="A35">
        <f>IF(ABS('350V Set-points'!$O35) &lt; _xlnm.Criteria,'350V Set-points'!$A35,0)</f>
        <v>0</v>
      </c>
      <c r="B35" t="s">
        <v>184</v>
      </c>
      <c r="C35" s="12">
        <f>IF(ABS('350V Set-points'!$O35) &lt; _xlnm.Criteria,'350V Set-points'!$B35,0)</f>
        <v>0</v>
      </c>
      <c r="D35" s="12">
        <f>IF(ABS('350V Set-points'!$O35) &lt; _xlnm.Criteria,'350V Set-points'!$C35,0)</f>
        <v>0</v>
      </c>
      <c r="E35">
        <f>IF(ABS('350V Set-points'!$O35) &lt; _xlnm.Criteria,'350V Set-points'!$E35,0)</f>
        <v>0</v>
      </c>
      <c r="F35">
        <f>IF(ABS('350V Set-points'!$O35) &lt; _xlnm.Criteria,'350V Set-points'!$F35,0)</f>
        <v>0</v>
      </c>
      <c r="G35">
        <f>IF(ABS('350V Set-points'!$O35) &lt; _xlnm.Criteria,'350V Set-points'!$D35,0)</f>
        <v>0</v>
      </c>
      <c r="H35" s="55">
        <f>IF(ABS('350V Set-points'!$O35) &lt; _xlnm.Criteria,'350V Set-points'!$J35,0)</f>
        <v>0</v>
      </c>
      <c r="I35" s="55">
        <f>IF(ABS('350V Set-points'!$O35) &lt; _xlnm.Criteria,'350V Set-points'!$K35,0)</f>
        <v>0</v>
      </c>
      <c r="J35">
        <f>IF(ABS('350V Set-points'!$O35) &lt; _xlnm.Criteria,'350V Set-points'!$I35,0)</f>
        <v>0</v>
      </c>
    </row>
    <row r="36" spans="1:10" x14ac:dyDescent="0.25">
      <c r="A36" t="str">
        <f>IF(ABS('350V Set-points'!$O36) &lt; _xlnm.Criteria,'350V Set-points'!$A36,0)</f>
        <v>64 HET 5999W</v>
      </c>
      <c r="B36" t="s">
        <v>184</v>
      </c>
      <c r="C36" s="12">
        <f>IF(ABS('350V Set-points'!$O36) &lt; _xlnm.Criteria,'350V Set-points'!$B36,0)</f>
        <v>383.93600000000004</v>
      </c>
      <c r="D36" s="12">
        <f>IF(ABS('350V Set-points'!$O36) &lt; _xlnm.Criteria,'350V Set-points'!$C36,0)</f>
        <v>23.996000000000002</v>
      </c>
      <c r="E36">
        <f>IF(ABS('350V Set-points'!$O36) &lt; _xlnm.Criteria,'350V Set-points'!$E36,0)</f>
        <v>0.56999999999999995</v>
      </c>
      <c r="F36">
        <f>IF(ABS('350V Set-points'!$O36) &lt; _xlnm.Criteria,'350V Set-points'!$F36,0)</f>
        <v>1977</v>
      </c>
      <c r="G36">
        <f>IF(ABS('350V Set-points'!$O36) &lt; _xlnm.Criteria,'350V Set-points'!$D36,0)</f>
        <v>23.36</v>
      </c>
      <c r="H36" s="55">
        <f>IF(ABS('350V Set-points'!$O36) &lt; _xlnm.Criteria,'350V Set-points'!$J36,0)</f>
        <v>27415</v>
      </c>
      <c r="I36" s="55">
        <f>IF(ABS('350V Set-points'!$O36) &lt; _xlnm.Criteria,'350V Set-points'!$K36,0)</f>
        <v>18974.372785812368</v>
      </c>
      <c r="J36">
        <f>IF(ABS('350V Set-points'!$O36) &lt; _xlnm.Criteria,'350V Set-points'!$I36,0)</f>
        <v>12000</v>
      </c>
    </row>
    <row r="37" spans="1:10" x14ac:dyDescent="0.25">
      <c r="A37">
        <f>IF(ABS('350V Set-points'!$O37) &lt; _xlnm.Criteria,'350V Set-points'!$A37,0)</f>
        <v>0</v>
      </c>
      <c r="B37" t="s">
        <v>184</v>
      </c>
      <c r="C37" s="12">
        <f>IF(ABS('350V Set-points'!$O37) &lt; _xlnm.Criteria,'350V Set-points'!$B37,0)</f>
        <v>0</v>
      </c>
      <c r="D37" s="12">
        <f>IF(ABS('350V Set-points'!$O37) &lt; _xlnm.Criteria,'350V Set-points'!$C37,0)</f>
        <v>0</v>
      </c>
      <c r="E37">
        <f>IF(ABS('350V Set-points'!$O37) &lt; _xlnm.Criteria,'350V Set-points'!$E37,0)</f>
        <v>0</v>
      </c>
      <c r="F37">
        <f>IF(ABS('350V Set-points'!$O37) &lt; _xlnm.Criteria,'350V Set-points'!$F37,0)</f>
        <v>0</v>
      </c>
      <c r="G37">
        <f>IF(ABS('350V Set-points'!$O37) &lt; _xlnm.Criteria,'350V Set-points'!$D37,0)</f>
        <v>0</v>
      </c>
      <c r="H37" s="55">
        <f>IF(ABS('350V Set-points'!$O37) &lt; _xlnm.Criteria,'350V Set-points'!$J37,0)</f>
        <v>0</v>
      </c>
      <c r="I37" s="55">
        <f>IF(ABS('350V Set-points'!$O37) &lt; _xlnm.Criteria,'350V Set-points'!$K37,0)</f>
        <v>0</v>
      </c>
      <c r="J37">
        <f>IF(ABS('350V Set-points'!$O37) &lt; _xlnm.Criteria,'350V Set-points'!$I37,0)</f>
        <v>0</v>
      </c>
    </row>
    <row r="38" spans="1:10" x14ac:dyDescent="0.25">
      <c r="A38">
        <f>IF(ABS('350V Set-points'!$O38) &lt; _xlnm.Criteria,'350V Set-points'!$A38,0)</f>
        <v>0</v>
      </c>
      <c r="B38" t="s">
        <v>184</v>
      </c>
      <c r="C38" s="12">
        <f>IF(ABS('350V Set-points'!$O38) &lt; _xlnm.Criteria,'350V Set-points'!$B38,0)</f>
        <v>0</v>
      </c>
      <c r="D38" s="12">
        <f>IF(ABS('350V Set-points'!$O38) &lt; _xlnm.Criteria,'350V Set-points'!$C38,0)</f>
        <v>0</v>
      </c>
      <c r="E38">
        <f>IF(ABS('350V Set-points'!$O38) &lt; _xlnm.Criteria,'350V Set-points'!$E38,0)</f>
        <v>0</v>
      </c>
      <c r="F38">
        <f>IF(ABS('350V Set-points'!$O38) &lt; _xlnm.Criteria,'350V Set-points'!$F38,0)</f>
        <v>0</v>
      </c>
      <c r="G38">
        <f>IF(ABS('350V Set-points'!$O38) &lt; _xlnm.Criteria,'350V Set-points'!$D38,0)</f>
        <v>0</v>
      </c>
      <c r="H38" s="55">
        <f>IF(ABS('350V Set-points'!$O38) &lt; _xlnm.Criteria,'350V Set-points'!$J38,0)</f>
        <v>0</v>
      </c>
      <c r="I38" s="55">
        <f>IF(ABS('350V Set-points'!$O38) &lt; _xlnm.Criteria,'350V Set-points'!$K38,0)</f>
        <v>0</v>
      </c>
      <c r="J38">
        <f>IF(ABS('350V Set-points'!$O38) &lt; _xlnm.Criteria,'350V Set-points'!$I38,0)</f>
        <v>0</v>
      </c>
    </row>
    <row r="39" spans="1:10" x14ac:dyDescent="0.25">
      <c r="A39">
        <f>IF(ABS('350V Set-points'!$O39) &lt; _xlnm.Criteria,'350V Set-points'!$A39,0)</f>
        <v>0</v>
      </c>
      <c r="B39" t="s">
        <v>184</v>
      </c>
      <c r="C39" s="12">
        <f>IF(ABS('350V Set-points'!$O39) &lt; _xlnm.Criteria,'350V Set-points'!$B39,0)</f>
        <v>0</v>
      </c>
      <c r="D39" s="12">
        <f>IF(ABS('350V Set-points'!$O39) &lt; _xlnm.Criteria,'350V Set-points'!$C39,0)</f>
        <v>0</v>
      </c>
      <c r="E39">
        <f>IF(ABS('350V Set-points'!$O39) &lt; _xlnm.Criteria,'350V Set-points'!$E39,0)</f>
        <v>0</v>
      </c>
      <c r="F39">
        <f>IF(ABS('350V Set-points'!$O39) &lt; _xlnm.Criteria,'350V Set-points'!$F39,0)</f>
        <v>0</v>
      </c>
      <c r="G39">
        <f>IF(ABS('350V Set-points'!$O39) &lt; _xlnm.Criteria,'350V Set-points'!$D39,0)</f>
        <v>0</v>
      </c>
      <c r="H39" s="55">
        <f>IF(ABS('350V Set-points'!$O39) &lt; _xlnm.Criteria,'350V Set-points'!$J39,0)</f>
        <v>0</v>
      </c>
      <c r="I39" s="55">
        <f>IF(ABS('350V Set-points'!$O39) &lt; _xlnm.Criteria,'350V Set-points'!$K39,0)</f>
        <v>0</v>
      </c>
      <c r="J39">
        <f>IF(ABS('350V Set-points'!$O39) &lt; _xlnm.Criteria,'350V Set-points'!$I39,0)</f>
        <v>0</v>
      </c>
    </row>
    <row r="40" spans="1:10" x14ac:dyDescent="0.25">
      <c r="A40">
        <f>IF(ABS('350V Set-points'!$O40) &lt; _xlnm.Criteria,'350V Set-points'!$A40,0)</f>
        <v>0</v>
      </c>
      <c r="B40" t="s">
        <v>184</v>
      </c>
      <c r="C40" s="12">
        <f>IF(ABS('350V Set-points'!$O40) &lt; _xlnm.Criteria,'350V Set-points'!$B40,0)</f>
        <v>0</v>
      </c>
      <c r="D40" s="12">
        <f>IF(ABS('350V Set-points'!$O40) &lt; _xlnm.Criteria,'350V Set-points'!$C40,0)</f>
        <v>0</v>
      </c>
      <c r="E40">
        <f>IF(ABS('350V Set-points'!$O40) &lt; _xlnm.Criteria,'350V Set-points'!$E40,0)</f>
        <v>0</v>
      </c>
      <c r="F40">
        <f>IF(ABS('350V Set-points'!$O40) &lt; _xlnm.Criteria,'350V Set-points'!$F40,0)</f>
        <v>0</v>
      </c>
      <c r="G40">
        <f>IF(ABS('350V Set-points'!$O40) &lt; _xlnm.Criteria,'350V Set-points'!$D40,0)</f>
        <v>0</v>
      </c>
      <c r="H40" s="55">
        <f>IF(ABS('350V Set-points'!$O40) &lt; _xlnm.Criteria,'350V Set-points'!$J40,0)</f>
        <v>0</v>
      </c>
      <c r="I40" s="55">
        <f>IF(ABS('350V Set-points'!$O40) &lt; _xlnm.Criteria,'350V Set-points'!$K40,0)</f>
        <v>0</v>
      </c>
      <c r="J40">
        <f>IF(ABS('350V Set-points'!$O40) &lt; _xlnm.Criteria,'350V Set-points'!$I40,0)</f>
        <v>0</v>
      </c>
    </row>
    <row r="41" spans="1:10" x14ac:dyDescent="0.25">
      <c r="A41" t="str">
        <f>IF(ABS('350V Set-points'!$O41) &lt; _xlnm.Criteria,'350V Set-points'!$A41,0)</f>
        <v>64 HET 8060W</v>
      </c>
      <c r="B41" t="s">
        <v>184</v>
      </c>
      <c r="C41" s="12">
        <f>IF(ABS('350V Set-points'!$O41) &lt; _xlnm.Criteria,'350V Set-points'!$B41,0)</f>
        <v>515.84</v>
      </c>
      <c r="D41" s="12">
        <f>IF(ABS('350V Set-points'!$O41) &lt; _xlnm.Criteria,'350V Set-points'!$C41,0)</f>
        <v>32.24</v>
      </c>
      <c r="E41">
        <f>IF(ABS('350V Set-points'!$O41) &lt; _xlnm.Criteria,'350V Set-points'!$E41,0)</f>
        <v>0.56000000000000005</v>
      </c>
      <c r="F41">
        <f>IF(ABS('350V Set-points'!$O41) &lt; _xlnm.Criteria,'350V Set-points'!$F41,0)</f>
        <v>1979</v>
      </c>
      <c r="G41">
        <f>IF(ABS('350V Set-points'!$O41) &lt; _xlnm.Criteria,'350V Set-points'!$D41,0)</f>
        <v>29.76</v>
      </c>
      <c r="H41" s="55">
        <f>IF(ABS('350V Set-points'!$O41) &lt; _xlnm.Criteria,'350V Set-points'!$J41,0)</f>
        <v>37017</v>
      </c>
      <c r="I41" s="55">
        <f>IF(ABS('350V Set-points'!$O41) &lt; _xlnm.Criteria,'350V Set-points'!$K41,0)</f>
        <v>25533.259688691625</v>
      </c>
      <c r="J41">
        <f>IF(ABS('350V Set-points'!$O41) &lt; _xlnm.Criteria,'350V Set-points'!$I41,0)</f>
        <v>16000</v>
      </c>
    </row>
    <row r="42" spans="1:10" x14ac:dyDescent="0.25">
      <c r="A42">
        <f>IF(ABS('350V Set-points'!$O42) &lt; _xlnm.Criteria,'350V Set-points'!$A42,0)</f>
        <v>0</v>
      </c>
      <c r="B42" t="s">
        <v>184</v>
      </c>
      <c r="C42" s="12">
        <f>IF(ABS('350V Set-points'!$O42) &lt; _xlnm.Criteria,'350V Set-points'!$B42,0)</f>
        <v>0</v>
      </c>
      <c r="D42" s="12">
        <f>IF(ABS('350V Set-points'!$O42) &lt; _xlnm.Criteria,'350V Set-points'!$C42,0)</f>
        <v>0</v>
      </c>
      <c r="E42">
        <f>IF(ABS('350V Set-points'!$O42) &lt; _xlnm.Criteria,'350V Set-points'!$E42,0)</f>
        <v>0</v>
      </c>
      <c r="F42">
        <f>IF(ABS('350V Set-points'!$O42) &lt; _xlnm.Criteria,'350V Set-points'!$F42,0)</f>
        <v>0</v>
      </c>
      <c r="G42">
        <f>IF(ABS('350V Set-points'!$O42) &lt; _xlnm.Criteria,'350V Set-points'!$D42,0)</f>
        <v>0</v>
      </c>
      <c r="H42" s="55">
        <f>IF(ABS('350V Set-points'!$O42) &lt; _xlnm.Criteria,'350V Set-points'!$J42,0)</f>
        <v>0</v>
      </c>
      <c r="I42" s="55">
        <f>IF(ABS('350V Set-points'!$O42) &lt; _xlnm.Criteria,'350V Set-points'!$K42,0)</f>
        <v>0</v>
      </c>
      <c r="J42">
        <f>IF(ABS('350V Set-points'!$O42) &lt; _xlnm.Criteria,'350V Set-points'!$I42,0)</f>
        <v>0</v>
      </c>
    </row>
    <row r="43" spans="1:10" x14ac:dyDescent="0.25">
      <c r="A43">
        <f>IF(ABS('350V Set-points'!$O43) &lt; _xlnm.Criteria,'350V Set-points'!$A43,0)</f>
        <v>0</v>
      </c>
      <c r="B43" t="s">
        <v>184</v>
      </c>
      <c r="C43" s="12">
        <f>IF(ABS('350V Set-points'!$O43) &lt; _xlnm.Criteria,'350V Set-points'!$B43,0)</f>
        <v>0</v>
      </c>
      <c r="D43" s="12">
        <f>IF(ABS('350V Set-points'!$O43) &lt; _xlnm.Criteria,'350V Set-points'!$C43,0)</f>
        <v>0</v>
      </c>
      <c r="E43">
        <f>IF(ABS('350V Set-points'!$O43) &lt; _xlnm.Criteria,'350V Set-points'!$E43,0)</f>
        <v>0</v>
      </c>
      <c r="F43">
        <f>IF(ABS('350V Set-points'!$O43) &lt; _xlnm.Criteria,'350V Set-points'!$F43,0)</f>
        <v>0</v>
      </c>
      <c r="G43">
        <f>IF(ABS('350V Set-points'!$O43) &lt; _xlnm.Criteria,'350V Set-points'!$D43,0)</f>
        <v>0</v>
      </c>
      <c r="H43" s="55">
        <f>IF(ABS('350V Set-points'!$O43) &lt; _xlnm.Criteria,'350V Set-points'!$J43,0)</f>
        <v>0</v>
      </c>
      <c r="I43" s="55">
        <f>IF(ABS('350V Set-points'!$O43) &lt; _xlnm.Criteria,'350V Set-points'!$K43,0)</f>
        <v>0</v>
      </c>
      <c r="J43">
        <f>IF(ABS('350V Set-points'!$O43) &lt; _xlnm.Criteria,'350V Set-points'!$I43,0)</f>
        <v>0</v>
      </c>
    </row>
    <row r="44" spans="1:10" s="67" customFormat="1" x14ac:dyDescent="0.25">
      <c r="A44" s="67">
        <f>IF(ABS('400V Set-points'!$O2) &lt; _xlnm.Criteria,'400V Set-points'!$A2,0)</f>
        <v>0</v>
      </c>
      <c r="B44" s="67" t="s">
        <v>185</v>
      </c>
      <c r="C44" s="120">
        <f>IF(ABS('400V Set-points'!$O2) &lt; _xlnm.Criteria,'400V Set-points'!$B2,0)</f>
        <v>0</v>
      </c>
      <c r="D44" s="120">
        <f>IF(ABS('400V Set-points'!$O2) &lt; _xlnm.Criteria,'400V Set-points'!$C2,0)</f>
        <v>0</v>
      </c>
      <c r="E44" s="67">
        <f>IF(ABS('400V Set-points'!$O2) &lt; _xlnm.Criteria,'400V Set-points'!$E2,0)</f>
        <v>0</v>
      </c>
      <c r="F44" s="67">
        <f>IF(ABS('400V Set-points'!$O2) &lt; _xlnm.Criteria,'400V Set-points'!$F2,0)</f>
        <v>0</v>
      </c>
      <c r="G44" s="67">
        <f>IF(ABS('400V Set-points'!$O2) &lt; _xlnm.Criteria,'400V Set-points'!$D2,0)</f>
        <v>0</v>
      </c>
      <c r="H44" s="119">
        <f>IF(ABS('400V Set-points'!$O2) &lt; _xlnm.Criteria,'400V Set-points'!$J2,0)</f>
        <v>0</v>
      </c>
      <c r="I44" s="119">
        <f>IF(ABS('400V Set-points'!$O2) &lt; _xlnm.Criteria,'400V Set-points'!$K2,0)</f>
        <v>0</v>
      </c>
      <c r="J44" s="67">
        <f>IF(ABS('400V Set-points'!$O2) &lt; _xlnm.Criteria,'400V Set-points'!$I2,0)</f>
        <v>0</v>
      </c>
    </row>
    <row r="45" spans="1:10" s="67" customFormat="1" x14ac:dyDescent="0.25">
      <c r="A45" s="67">
        <f>IF(ABS('400V Set-points'!$O3) &lt; _xlnm.Criteria,'400V Set-points'!$A3,0)</f>
        <v>0</v>
      </c>
      <c r="B45" s="67" t="s">
        <v>185</v>
      </c>
      <c r="C45" s="120">
        <f>IF(ABS('400V Set-points'!$O3) &lt; _xlnm.Criteria,'400V Set-points'!$B3,0)</f>
        <v>0</v>
      </c>
      <c r="D45" s="120">
        <f>IF(ABS('400V Set-points'!$O3) &lt; _xlnm.Criteria,'400V Set-points'!$C3,0)</f>
        <v>0</v>
      </c>
      <c r="E45" s="67">
        <f>IF(ABS('400V Set-points'!$O3) &lt; _xlnm.Criteria,'400V Set-points'!$E3,0)</f>
        <v>0</v>
      </c>
      <c r="F45" s="67">
        <f>IF(ABS('400V Set-points'!$O3) &lt; _xlnm.Criteria,'400V Set-points'!$F3,0)</f>
        <v>0</v>
      </c>
      <c r="G45" s="67">
        <f>IF(ABS('400V Set-points'!$O3) &lt; _xlnm.Criteria,'400V Set-points'!$D3,0)</f>
        <v>0</v>
      </c>
      <c r="H45" s="119">
        <f>IF(ABS('400V Set-points'!$O3) &lt; _xlnm.Criteria,'400V Set-points'!$J3,0)</f>
        <v>0</v>
      </c>
      <c r="I45" s="119">
        <f>IF(ABS('400V Set-points'!$O3) &lt; _xlnm.Criteria,'400V Set-points'!$K3,0)</f>
        <v>0</v>
      </c>
      <c r="J45" s="67">
        <f>IF(ABS('400V Set-points'!$O3) &lt; _xlnm.Criteria,'400V Set-points'!$I3,0)</f>
        <v>0</v>
      </c>
    </row>
    <row r="46" spans="1:10" s="67" customFormat="1" x14ac:dyDescent="0.25">
      <c r="A46" s="67">
        <f>IF(ABS('400V Set-points'!$O4) &lt; _xlnm.Criteria,'400V Set-points'!$A4,0)</f>
        <v>0</v>
      </c>
      <c r="B46" s="67" t="s">
        <v>185</v>
      </c>
      <c r="C46" s="120">
        <f>IF(ABS('400V Set-points'!$O4) &lt; _xlnm.Criteria,'400V Set-points'!$B4,0)</f>
        <v>0</v>
      </c>
      <c r="D46" s="120">
        <f>IF(ABS('400V Set-points'!$O4) &lt; _xlnm.Criteria,'400V Set-points'!$C4,0)</f>
        <v>0</v>
      </c>
      <c r="E46" s="67">
        <f>IF(ABS('400V Set-points'!$O4) &lt; _xlnm.Criteria,'400V Set-points'!$E4,0)</f>
        <v>0</v>
      </c>
      <c r="F46" s="67">
        <f>IF(ABS('400V Set-points'!$O4) &lt; _xlnm.Criteria,'400V Set-points'!$F4,0)</f>
        <v>0</v>
      </c>
      <c r="G46" s="67">
        <f>IF(ABS('400V Set-points'!$O4) &lt; _xlnm.Criteria,'400V Set-points'!$D4,0)</f>
        <v>0</v>
      </c>
      <c r="H46" s="119">
        <f>IF(ABS('400V Set-points'!$O4) &lt; _xlnm.Criteria,'400V Set-points'!$J4,0)</f>
        <v>0</v>
      </c>
      <c r="I46" s="119">
        <f>IF(ABS('400V Set-points'!$O4) &lt; _xlnm.Criteria,'400V Set-points'!$K4,0)</f>
        <v>0</v>
      </c>
      <c r="J46" s="67">
        <f>IF(ABS('400V Set-points'!$O4) &lt; _xlnm.Criteria,'400V Set-points'!$I4,0)</f>
        <v>0</v>
      </c>
    </row>
    <row r="47" spans="1:10" s="67" customFormat="1" x14ac:dyDescent="0.25">
      <c r="A47" s="67">
        <f>IF(ABS('400V Set-points'!$O5) &lt; _xlnm.Criteria,'400V Set-points'!$A5,0)</f>
        <v>0</v>
      </c>
      <c r="B47" s="67" t="s">
        <v>185</v>
      </c>
      <c r="C47" s="120">
        <f>IF(ABS('400V Set-points'!$O5) &lt; _xlnm.Criteria,'400V Set-points'!$B5,0)</f>
        <v>0</v>
      </c>
      <c r="D47" s="120">
        <f>IF(ABS('400V Set-points'!$O5) &lt; _xlnm.Criteria,'400V Set-points'!$C5,0)</f>
        <v>0</v>
      </c>
      <c r="E47" s="67">
        <f>IF(ABS('400V Set-points'!$O5) &lt; _xlnm.Criteria,'400V Set-points'!$E5,0)</f>
        <v>0</v>
      </c>
      <c r="F47" s="67">
        <f>IF(ABS('400V Set-points'!$O5) &lt; _xlnm.Criteria,'400V Set-points'!$F5,0)</f>
        <v>0</v>
      </c>
      <c r="G47" s="67">
        <f>IF(ABS('400V Set-points'!$O5) &lt; _xlnm.Criteria,'400V Set-points'!$D5,0)</f>
        <v>0</v>
      </c>
      <c r="H47" s="119">
        <f>IF(ABS('400V Set-points'!$O5) &lt; _xlnm.Criteria,'400V Set-points'!$J5,0)</f>
        <v>0</v>
      </c>
      <c r="I47" s="119">
        <f>IF(ABS('400V Set-points'!$O5) &lt; _xlnm.Criteria,'400V Set-points'!$K5,0)</f>
        <v>0</v>
      </c>
      <c r="J47" s="67">
        <f>IF(ABS('400V Set-points'!$O5) &lt; _xlnm.Criteria,'400V Set-points'!$I5,0)</f>
        <v>0</v>
      </c>
    </row>
    <row r="48" spans="1:10" s="67" customFormat="1" x14ac:dyDescent="0.25">
      <c r="A48" s="67">
        <f>IF(ABS('400V Set-points'!$O6) &lt; _xlnm.Criteria,'400V Set-points'!$A6,0)</f>
        <v>0</v>
      </c>
      <c r="B48" s="67" t="s">
        <v>185</v>
      </c>
      <c r="C48" s="120">
        <f>IF(ABS('400V Set-points'!$O6) &lt; _xlnm.Criteria,'400V Set-points'!$B6,0)</f>
        <v>0</v>
      </c>
      <c r="D48" s="120">
        <f>IF(ABS('400V Set-points'!$O6) &lt; _xlnm.Criteria,'400V Set-points'!$C6,0)</f>
        <v>0</v>
      </c>
      <c r="E48" s="67">
        <f>IF(ABS('400V Set-points'!$O6) &lt; _xlnm.Criteria,'400V Set-points'!$E6,0)</f>
        <v>0</v>
      </c>
      <c r="F48" s="67">
        <f>IF(ABS('400V Set-points'!$O6) &lt; _xlnm.Criteria,'400V Set-points'!$F6,0)</f>
        <v>0</v>
      </c>
      <c r="G48" s="67">
        <f>IF(ABS('400V Set-points'!$O6) &lt; _xlnm.Criteria,'400V Set-points'!$D6,0)</f>
        <v>0</v>
      </c>
      <c r="H48" s="119">
        <f>IF(ABS('400V Set-points'!$O6) &lt; _xlnm.Criteria,'400V Set-points'!$J6,0)</f>
        <v>0</v>
      </c>
      <c r="I48" s="119">
        <f>IF(ABS('400V Set-points'!$O6) &lt; _xlnm.Criteria,'400V Set-points'!$K6,0)</f>
        <v>0</v>
      </c>
      <c r="J48" s="67">
        <f>IF(ABS('400V Set-points'!$O6) &lt; _xlnm.Criteria,'400V Set-points'!$I6,0)</f>
        <v>0</v>
      </c>
    </row>
    <row r="49" spans="1:10" s="67" customFormat="1" x14ac:dyDescent="0.25">
      <c r="A49" s="67">
        <f>IF(ABS('400V Set-points'!$O7) &lt; _xlnm.Criteria,'400V Set-points'!$A7,0)</f>
        <v>0</v>
      </c>
      <c r="B49" s="67" t="s">
        <v>185</v>
      </c>
      <c r="C49" s="120">
        <f>IF(ABS('400V Set-points'!$O7) &lt; _xlnm.Criteria,'400V Set-points'!$B7,0)</f>
        <v>0</v>
      </c>
      <c r="D49" s="120">
        <f>IF(ABS('400V Set-points'!$O7) &lt; _xlnm.Criteria,'400V Set-points'!$C7,0)</f>
        <v>0</v>
      </c>
      <c r="E49" s="67">
        <f>IF(ABS('400V Set-points'!$O7) &lt; _xlnm.Criteria,'400V Set-points'!$E7,0)</f>
        <v>0</v>
      </c>
      <c r="F49" s="67">
        <f>IF(ABS('400V Set-points'!$O7) &lt; _xlnm.Criteria,'400V Set-points'!$F7,0)</f>
        <v>0</v>
      </c>
      <c r="G49" s="67">
        <f>IF(ABS('400V Set-points'!$O7) &lt; _xlnm.Criteria,'400V Set-points'!$D7,0)</f>
        <v>0</v>
      </c>
      <c r="H49" s="119">
        <f>IF(ABS('400V Set-points'!$O7) &lt; _xlnm.Criteria,'400V Set-points'!$J7,0)</f>
        <v>0</v>
      </c>
      <c r="I49" s="119">
        <f>IF(ABS('400V Set-points'!$O7) &lt; _xlnm.Criteria,'400V Set-points'!$K7,0)</f>
        <v>0</v>
      </c>
      <c r="J49" s="67">
        <f>IF(ABS('400V Set-points'!$O7) &lt; _xlnm.Criteria,'400V Set-points'!$I7,0)</f>
        <v>0</v>
      </c>
    </row>
    <row r="50" spans="1:10" s="67" customFormat="1" x14ac:dyDescent="0.25">
      <c r="A50" s="67" t="str">
        <f>IF(ABS('400V Set-points'!$O8) &lt; _xlnm.Criteria,'400V Set-points'!$A8,0)</f>
        <v>16 HET 8061W</v>
      </c>
      <c r="B50" s="67" t="s">
        <v>185</v>
      </c>
      <c r="C50" s="120">
        <f>IF(ABS('400V Set-points'!$O8) &lt; _xlnm.Criteria,'400V Set-points'!$B8,0)</f>
        <v>128.976</v>
      </c>
      <c r="D50" s="120">
        <f>IF(ABS('400V Set-points'!$O8) &lt; _xlnm.Criteria,'400V Set-points'!$C8,0)</f>
        <v>32.244</v>
      </c>
      <c r="E50" s="67">
        <f>IF(ABS('400V Set-points'!$O8) &lt; _xlnm.Criteria,'400V Set-points'!$E8,0)</f>
        <v>0.60599999999999998</v>
      </c>
      <c r="F50" s="67">
        <f>IF(ABS('400V Set-points'!$O8) &lt; _xlnm.Criteria,'400V Set-points'!$F8,0)</f>
        <v>2217</v>
      </c>
      <c r="G50" s="67">
        <f>IF(ABS('400V Set-points'!$O8) &lt; _xlnm.Criteria,'400V Set-points'!$D8,0)</f>
        <v>7.1840000000000002</v>
      </c>
      <c r="H50" s="119">
        <f>IF(ABS('400V Set-points'!$O8) &lt; _xlnm.Criteria,'400V Set-points'!$J8,0)</f>
        <v>8024.78</v>
      </c>
      <c r="I50" s="119">
        <f>IF(ABS('400V Set-points'!$O8) &lt; _xlnm.Criteria,'400V Set-points'!$K8,0)</f>
        <v>4506.0651182256497</v>
      </c>
      <c r="J50" s="67">
        <f>IF(ABS('400V Set-points'!$O8) &lt; _xlnm.Criteria,'400V Set-points'!$I8,0)</f>
        <v>2000</v>
      </c>
    </row>
    <row r="51" spans="1:10" s="67" customFormat="1" x14ac:dyDescent="0.25">
      <c r="A51" s="67">
        <f>IF(ABS('400V Set-points'!$O9) &lt; _xlnm.Criteria,'400V Set-points'!$A9,0)</f>
        <v>0</v>
      </c>
      <c r="B51" s="67" t="s">
        <v>185</v>
      </c>
      <c r="C51" s="120">
        <f>IF(ABS('400V Set-points'!$O9) &lt; _xlnm.Criteria,'400V Set-points'!$B9,0)</f>
        <v>0</v>
      </c>
      <c r="D51" s="120">
        <f>IF(ABS('400V Set-points'!$O9) &lt; _xlnm.Criteria,'400V Set-points'!$C9,0)</f>
        <v>0</v>
      </c>
      <c r="E51" s="67">
        <f>IF(ABS('400V Set-points'!$O9) &lt; _xlnm.Criteria,'400V Set-points'!$E9,0)</f>
        <v>0</v>
      </c>
      <c r="F51" s="67">
        <f>IF(ABS('400V Set-points'!$O9) &lt; _xlnm.Criteria,'400V Set-points'!$F9,0)</f>
        <v>0</v>
      </c>
      <c r="G51" s="67">
        <f>IF(ABS('400V Set-points'!$O9) &lt; _xlnm.Criteria,'400V Set-points'!$D9,0)</f>
        <v>0</v>
      </c>
      <c r="H51" s="119">
        <f>IF(ABS('400V Set-points'!$O9) &lt; _xlnm.Criteria,'400V Set-points'!$J9,0)</f>
        <v>0</v>
      </c>
      <c r="I51" s="119">
        <f>IF(ABS('400V Set-points'!$O9) &lt; _xlnm.Criteria,'400V Set-points'!$K9,0)</f>
        <v>0</v>
      </c>
      <c r="J51" s="67">
        <f>IF(ABS('400V Set-points'!$O9) &lt; _xlnm.Criteria,'400V Set-points'!$I9,0)</f>
        <v>0</v>
      </c>
    </row>
    <row r="52" spans="1:10" s="67" customFormat="1" x14ac:dyDescent="0.25">
      <c r="A52" s="67">
        <f>IF(ABS('400V Set-points'!$O10) &lt; _xlnm.Criteria,'400V Set-points'!$A10,0)</f>
        <v>0</v>
      </c>
      <c r="B52" s="67" t="s">
        <v>185</v>
      </c>
      <c r="C52" s="120">
        <f>IF(ABS('400V Set-points'!$O10) &lt; _xlnm.Criteria,'400V Set-points'!$B10,0)</f>
        <v>0</v>
      </c>
      <c r="D52" s="120">
        <f>IF(ABS('400V Set-points'!$O10) &lt; _xlnm.Criteria,'400V Set-points'!$C10,0)</f>
        <v>0</v>
      </c>
      <c r="E52" s="67">
        <f>IF(ABS('400V Set-points'!$O10) &lt; _xlnm.Criteria,'400V Set-points'!$E10,0)</f>
        <v>0</v>
      </c>
      <c r="F52" s="67">
        <f>IF(ABS('400V Set-points'!$O10) &lt; _xlnm.Criteria,'400V Set-points'!$F10,0)</f>
        <v>0</v>
      </c>
      <c r="G52" s="67">
        <f>IF(ABS('400V Set-points'!$O10) &lt; _xlnm.Criteria,'400V Set-points'!$D10,0)</f>
        <v>0</v>
      </c>
      <c r="H52" s="119">
        <f>IF(ABS('400V Set-points'!$O10) &lt; _xlnm.Criteria,'400V Set-points'!$J10,0)</f>
        <v>0</v>
      </c>
      <c r="I52" s="119">
        <f>IF(ABS('400V Set-points'!$O10) &lt; _xlnm.Criteria,'400V Set-points'!$K10,0)</f>
        <v>0</v>
      </c>
      <c r="J52" s="67">
        <f>IF(ABS('400V Set-points'!$O10) &lt; _xlnm.Criteria,'400V Set-points'!$I10,0)</f>
        <v>0</v>
      </c>
    </row>
    <row r="53" spans="1:10" s="67" customFormat="1" x14ac:dyDescent="0.25">
      <c r="A53" s="67" t="str">
        <f>IF(ABS('400V Set-points'!$O11) &lt; _xlnm.Criteria,'400V Set-points'!$A11,0)</f>
        <v>32 HET 4537W</v>
      </c>
      <c r="B53" s="67" t="s">
        <v>185</v>
      </c>
      <c r="C53" s="120">
        <f>IF(ABS('400V Set-points'!$O11) &lt; _xlnm.Criteria,'400V Set-points'!$B11,0)</f>
        <v>145.184</v>
      </c>
      <c r="D53" s="120">
        <f>IF(ABS('400V Set-points'!$O11) &lt; _xlnm.Criteria,'400V Set-points'!$C11,0)</f>
        <v>18.148</v>
      </c>
      <c r="E53" s="67">
        <f>IF(ABS('400V Set-points'!$O11) &lt; _xlnm.Criteria,'400V Set-points'!$E11,0)</f>
        <v>0.58399999999999996</v>
      </c>
      <c r="F53" s="67">
        <f>IF(ABS('400V Set-points'!$O11) &lt; _xlnm.Criteria,'400V Set-points'!$F11,0)</f>
        <v>2077</v>
      </c>
      <c r="G53" s="67">
        <f>IF(ABS('400V Set-points'!$O11) &lt; _xlnm.Criteria,'400V Set-points'!$D11,0)</f>
        <v>8.32</v>
      </c>
      <c r="H53" s="119">
        <f>IF(ABS('400V Set-points'!$O11) &lt; _xlnm.Criteria,'400V Set-points'!$J11,0)</f>
        <v>11088.09</v>
      </c>
      <c r="I53" s="119">
        <f>IF(ABS('400V Set-points'!$O11) &lt; _xlnm.Criteria,'400V Set-points'!$K11,0)</f>
        <v>7029.9695970848697</v>
      </c>
      <c r="J53" s="67">
        <f>IF(ABS('400V Set-points'!$O11) &lt; _xlnm.Criteria,'400V Set-points'!$I11,0)</f>
        <v>4000</v>
      </c>
    </row>
    <row r="54" spans="1:10" s="67" customFormat="1" x14ac:dyDescent="0.25">
      <c r="A54" s="67">
        <f>IF(ABS('400V Set-points'!$O12) &lt; _xlnm.Criteria,'400V Set-points'!$A12,0)</f>
        <v>0</v>
      </c>
      <c r="B54" s="67" t="s">
        <v>185</v>
      </c>
      <c r="C54" s="120">
        <f>IF(ABS('400V Set-points'!$O12) &lt; _xlnm.Criteria,'400V Set-points'!$B12,0)</f>
        <v>0</v>
      </c>
      <c r="D54" s="120">
        <f>IF(ABS('400V Set-points'!$O12) &lt; _xlnm.Criteria,'400V Set-points'!$C12,0)</f>
        <v>0</v>
      </c>
      <c r="E54" s="67">
        <f>IF(ABS('400V Set-points'!$O12) &lt; _xlnm.Criteria,'400V Set-points'!$E12,0)</f>
        <v>0</v>
      </c>
      <c r="F54" s="67">
        <f>IF(ABS('400V Set-points'!$O12) &lt; _xlnm.Criteria,'400V Set-points'!$F12,0)</f>
        <v>0</v>
      </c>
      <c r="G54" s="67">
        <f>IF(ABS('400V Set-points'!$O12) &lt; _xlnm.Criteria,'400V Set-points'!$D12,0)</f>
        <v>0</v>
      </c>
      <c r="H54" s="119">
        <f>IF(ABS('400V Set-points'!$O12) &lt; _xlnm.Criteria,'400V Set-points'!$J12,0)</f>
        <v>0</v>
      </c>
      <c r="I54" s="119">
        <f>IF(ABS('400V Set-points'!$O12) &lt; _xlnm.Criteria,'400V Set-points'!$K12,0)</f>
        <v>0</v>
      </c>
      <c r="J54" s="67">
        <f>IF(ABS('400V Set-points'!$O12) &lt; _xlnm.Criteria,'400V Set-points'!$I12,0)</f>
        <v>0</v>
      </c>
    </row>
    <row r="55" spans="1:10" s="67" customFormat="1" x14ac:dyDescent="0.25">
      <c r="A55" s="67">
        <f>IF(ABS('400V Set-points'!$O13) &lt; _xlnm.Criteria,'400V Set-points'!$A13,0)</f>
        <v>0</v>
      </c>
      <c r="B55" s="67" t="s">
        <v>185</v>
      </c>
      <c r="C55" s="120">
        <f>IF(ABS('400V Set-points'!$O13) &lt; _xlnm.Criteria,'400V Set-points'!$B13,0)</f>
        <v>0</v>
      </c>
      <c r="D55" s="120">
        <f>IF(ABS('400V Set-points'!$O13) &lt; _xlnm.Criteria,'400V Set-points'!$C13,0)</f>
        <v>0</v>
      </c>
      <c r="E55" s="67">
        <f>IF(ABS('400V Set-points'!$O13) &lt; _xlnm.Criteria,'400V Set-points'!$E13,0)</f>
        <v>0</v>
      </c>
      <c r="F55" s="67">
        <f>IF(ABS('400V Set-points'!$O13) &lt; _xlnm.Criteria,'400V Set-points'!$F13,0)</f>
        <v>0</v>
      </c>
      <c r="G55" s="67">
        <f>IF(ABS('400V Set-points'!$O13) &lt; _xlnm.Criteria,'400V Set-points'!$D13,0)</f>
        <v>0</v>
      </c>
      <c r="H55" s="119">
        <f>IF(ABS('400V Set-points'!$O13) &lt; _xlnm.Criteria,'400V Set-points'!$J13,0)</f>
        <v>0</v>
      </c>
      <c r="I55" s="119">
        <f>IF(ABS('400V Set-points'!$O13) &lt; _xlnm.Criteria,'400V Set-points'!$K13,0)</f>
        <v>0</v>
      </c>
      <c r="J55" s="67">
        <f>IF(ABS('400V Set-points'!$O13) &lt; _xlnm.Criteria,'400V Set-points'!$I13,0)</f>
        <v>0</v>
      </c>
    </row>
    <row r="56" spans="1:10" s="67" customFormat="1" x14ac:dyDescent="0.25">
      <c r="A56" s="67">
        <f>IF(ABS('400V Set-points'!$O14) &lt; _xlnm.Criteria,'400V Set-points'!$A14,0)</f>
        <v>0</v>
      </c>
      <c r="B56" s="67" t="s">
        <v>185</v>
      </c>
      <c r="C56" s="120">
        <f>IF(ABS('400V Set-points'!$O14) &lt; _xlnm.Criteria,'400V Set-points'!$B14,0)</f>
        <v>0</v>
      </c>
      <c r="D56" s="120">
        <f>IF(ABS('400V Set-points'!$O14) &lt; _xlnm.Criteria,'400V Set-points'!$C14,0)</f>
        <v>0</v>
      </c>
      <c r="E56" s="67">
        <f>IF(ABS('400V Set-points'!$O14) &lt; _xlnm.Criteria,'400V Set-points'!$E14,0)</f>
        <v>0</v>
      </c>
      <c r="F56" s="67">
        <f>IF(ABS('400V Set-points'!$O14) &lt; _xlnm.Criteria,'400V Set-points'!$F14,0)</f>
        <v>0</v>
      </c>
      <c r="G56" s="67">
        <f>IF(ABS('400V Set-points'!$O14) &lt; _xlnm.Criteria,'400V Set-points'!$D14,0)</f>
        <v>0</v>
      </c>
      <c r="H56" s="119">
        <f>IF(ABS('400V Set-points'!$O14) &lt; _xlnm.Criteria,'400V Set-points'!$J14,0)</f>
        <v>0</v>
      </c>
      <c r="I56" s="119">
        <f>IF(ABS('400V Set-points'!$O14) &lt; _xlnm.Criteria,'400V Set-points'!$K14,0)</f>
        <v>0</v>
      </c>
      <c r="J56" s="67">
        <f>IF(ABS('400V Set-points'!$O14) &lt; _xlnm.Criteria,'400V Set-points'!$I14,0)</f>
        <v>0</v>
      </c>
    </row>
    <row r="57" spans="1:10" s="67" customFormat="1" x14ac:dyDescent="0.25">
      <c r="A57" s="67" t="str">
        <f>IF(ABS('400V Set-points'!$O15) &lt; _xlnm.Criteria,'400V Set-points'!$A15,0)</f>
        <v>32 HET 6295W</v>
      </c>
      <c r="B57" s="67" t="s">
        <v>185</v>
      </c>
      <c r="C57" s="120">
        <f>IF(ABS('400V Set-points'!$O15) &lt; _xlnm.Criteria,'400V Set-points'!$B15,0)</f>
        <v>201.44</v>
      </c>
      <c r="D57" s="120">
        <f>IF(ABS('400V Set-points'!$O15) &lt; _xlnm.Criteria,'400V Set-points'!$C15,0)</f>
        <v>25.18</v>
      </c>
      <c r="E57" s="67">
        <f>IF(ABS('400V Set-points'!$O15) &lt; _xlnm.Criteria,'400V Set-points'!$E15,0)</f>
        <v>0.60599999999999998</v>
      </c>
      <c r="F57" s="67">
        <f>IF(ABS('400V Set-points'!$O15) &lt; _xlnm.Criteria,'400V Set-points'!$F15,0)</f>
        <v>2165</v>
      </c>
      <c r="G57" s="67">
        <f>IF(ABS('400V Set-points'!$O15) &lt; _xlnm.Criteria,'400V Set-points'!$D15,0)</f>
        <v>11.488</v>
      </c>
      <c r="H57" s="119">
        <f>IF(ABS('400V Set-points'!$O15) &lt; _xlnm.Criteria,'400V Set-points'!$J15,0)</f>
        <v>16854.439999999999</v>
      </c>
      <c r="I57" s="119">
        <f>IF(ABS('400V Set-points'!$O15) &lt; _xlnm.Criteria,'400V Set-points'!$K15,0)</f>
        <v>10692.350172235956</v>
      </c>
      <c r="J57" s="67">
        <f>IF(ABS('400V Set-points'!$O15) &lt; _xlnm.Criteria,'400V Set-points'!$I15,0)</f>
        <v>8000</v>
      </c>
    </row>
    <row r="58" spans="1:10" s="67" customFormat="1" x14ac:dyDescent="0.25">
      <c r="A58" s="67">
        <f>IF(ABS('400V Set-points'!$O16) &lt; _xlnm.Criteria,'400V Set-points'!$A16,0)</f>
        <v>0</v>
      </c>
      <c r="B58" s="67" t="s">
        <v>185</v>
      </c>
      <c r="C58" s="120">
        <f>IF(ABS('400V Set-points'!$O16) &lt; _xlnm.Criteria,'400V Set-points'!$B16,0)</f>
        <v>0</v>
      </c>
      <c r="D58" s="120">
        <f>IF(ABS('400V Set-points'!$O16) &lt; _xlnm.Criteria,'400V Set-points'!$C16,0)</f>
        <v>0</v>
      </c>
      <c r="E58" s="67">
        <f>IF(ABS('400V Set-points'!$O16) &lt; _xlnm.Criteria,'400V Set-points'!$E16,0)</f>
        <v>0</v>
      </c>
      <c r="F58" s="67">
        <f>IF(ABS('400V Set-points'!$O16) &lt; _xlnm.Criteria,'400V Set-points'!$F16,0)</f>
        <v>0</v>
      </c>
      <c r="G58" s="67">
        <f>IF(ABS('400V Set-points'!$O16) &lt; _xlnm.Criteria,'400V Set-points'!$D16,0)</f>
        <v>0</v>
      </c>
      <c r="H58" s="119">
        <f>IF(ABS('400V Set-points'!$O16) &lt; _xlnm.Criteria,'400V Set-points'!$J16,0)</f>
        <v>0</v>
      </c>
      <c r="I58" s="119">
        <f>IF(ABS('400V Set-points'!$O16) &lt; _xlnm.Criteria,'400V Set-points'!$K16,0)</f>
        <v>0</v>
      </c>
      <c r="J58" s="67">
        <f>IF(ABS('400V Set-points'!$O16) &lt; _xlnm.Criteria,'400V Set-points'!$I16,0)</f>
        <v>0</v>
      </c>
    </row>
    <row r="59" spans="1:10" s="67" customFormat="1" x14ac:dyDescent="0.25">
      <c r="A59" s="67">
        <f>IF(ABS('400V Set-points'!$O17) &lt; _xlnm.Criteria,'400V Set-points'!$A17,0)</f>
        <v>0</v>
      </c>
      <c r="B59" s="67" t="s">
        <v>185</v>
      </c>
      <c r="C59" s="120">
        <f>IF(ABS('400V Set-points'!$O17) &lt; _xlnm.Criteria,'400V Set-points'!$B17,0)</f>
        <v>0</v>
      </c>
      <c r="D59" s="120">
        <f>IF(ABS('400V Set-points'!$O17) &lt; _xlnm.Criteria,'400V Set-points'!$C17,0)</f>
        <v>0</v>
      </c>
      <c r="E59" s="67">
        <f>IF(ABS('400V Set-points'!$O17) &lt; _xlnm.Criteria,'400V Set-points'!$E17,0)</f>
        <v>0</v>
      </c>
      <c r="F59" s="67">
        <f>IF(ABS('400V Set-points'!$O17) &lt; _xlnm.Criteria,'400V Set-points'!$F17,0)</f>
        <v>0</v>
      </c>
      <c r="G59" s="67">
        <f>IF(ABS('400V Set-points'!$O17) &lt; _xlnm.Criteria,'400V Set-points'!$D17,0)</f>
        <v>0</v>
      </c>
      <c r="H59" s="119">
        <f>IF(ABS('400V Set-points'!$O17) &lt; _xlnm.Criteria,'400V Set-points'!$J17,0)</f>
        <v>0</v>
      </c>
      <c r="I59" s="119">
        <f>IF(ABS('400V Set-points'!$O17) &lt; _xlnm.Criteria,'400V Set-points'!$K17,0)</f>
        <v>0</v>
      </c>
      <c r="J59" s="67">
        <f>IF(ABS('400V Set-points'!$O17) &lt; _xlnm.Criteria,'400V Set-points'!$I17,0)</f>
        <v>0</v>
      </c>
    </row>
    <row r="60" spans="1:10" s="67" customFormat="1" x14ac:dyDescent="0.25">
      <c r="A60" s="67" t="str">
        <f>IF(ABS('400V Set-points'!$O18) &lt; _xlnm.Criteria,'400V Set-points'!$A18,0)</f>
        <v>32 HET 8061W</v>
      </c>
      <c r="B60" s="67" t="s">
        <v>185</v>
      </c>
      <c r="C60" s="120">
        <f>IF(ABS('400V Set-points'!$O18) &lt; _xlnm.Criteria,'400V Set-points'!$B18,0)</f>
        <v>257.952</v>
      </c>
      <c r="D60" s="120">
        <f>IF(ABS('400V Set-points'!$O18) &lt; _xlnm.Criteria,'400V Set-points'!$C18,0)</f>
        <v>32.244</v>
      </c>
      <c r="E60" s="67">
        <f>IF(ABS('400V Set-points'!$O18) &lt; _xlnm.Criteria,'400V Set-points'!$E18,0)</f>
        <v>0.60599999999999998</v>
      </c>
      <c r="F60" s="67">
        <f>IF(ABS('400V Set-points'!$O18) &lt; _xlnm.Criteria,'400V Set-points'!$F18,0)</f>
        <v>2217</v>
      </c>
      <c r="G60" s="67">
        <f>IF(ABS('400V Set-points'!$O18) &lt; _xlnm.Criteria,'400V Set-points'!$D18,0)</f>
        <v>14.368</v>
      </c>
      <c r="H60" s="119">
        <f>IF(ABS('400V Set-points'!$O18) &lt; _xlnm.Criteria,'400V Set-points'!$J18,0)</f>
        <v>16854.439999999999</v>
      </c>
      <c r="I60" s="119">
        <f>IF(ABS('400V Set-points'!$O18) &lt; _xlnm.Criteria,'400V Set-points'!$K18,0)</f>
        <v>10412.60447835069</v>
      </c>
      <c r="J60" s="67">
        <f>IF(ABS('400V Set-points'!$O18) &lt; _xlnm.Criteria,'400V Set-points'!$I18,0)</f>
        <v>8000</v>
      </c>
    </row>
    <row r="61" spans="1:10" s="67" customFormat="1" x14ac:dyDescent="0.25">
      <c r="A61" s="67">
        <f>IF(ABS('400V Set-points'!$O19) &lt; _xlnm.Criteria,'400V Set-points'!$A19,0)</f>
        <v>0</v>
      </c>
      <c r="B61" s="67" t="s">
        <v>185</v>
      </c>
      <c r="C61" s="120">
        <f>IF(ABS('400V Set-points'!$O19) &lt; _xlnm.Criteria,'400V Set-points'!$B19,0)</f>
        <v>0</v>
      </c>
      <c r="D61" s="120">
        <f>IF(ABS('400V Set-points'!$O19) &lt; _xlnm.Criteria,'400V Set-points'!$C19,0)</f>
        <v>0</v>
      </c>
      <c r="E61" s="67">
        <f>IF(ABS('400V Set-points'!$O19) &lt; _xlnm.Criteria,'400V Set-points'!$E19,0)</f>
        <v>0</v>
      </c>
      <c r="F61" s="67">
        <f>IF(ABS('400V Set-points'!$O19) &lt; _xlnm.Criteria,'400V Set-points'!$F19,0)</f>
        <v>0</v>
      </c>
      <c r="G61" s="67">
        <f>IF(ABS('400V Set-points'!$O19) &lt; _xlnm.Criteria,'400V Set-points'!$D19,0)</f>
        <v>0</v>
      </c>
      <c r="H61" s="119">
        <f>IF(ABS('400V Set-points'!$O19) &lt; _xlnm.Criteria,'400V Set-points'!$J19,0)</f>
        <v>0</v>
      </c>
      <c r="I61" s="119">
        <f>IF(ABS('400V Set-points'!$O19) &lt; _xlnm.Criteria,'400V Set-points'!$K19,0)</f>
        <v>0</v>
      </c>
      <c r="J61" s="67">
        <f>IF(ABS('400V Set-points'!$O19) &lt; _xlnm.Criteria,'400V Set-points'!$I19,0)</f>
        <v>0</v>
      </c>
    </row>
    <row r="62" spans="1:10" s="67" customFormat="1" x14ac:dyDescent="0.25">
      <c r="A62" s="67">
        <f>IF(ABS('400V Set-points'!$O20) &lt; _xlnm.Criteria,'400V Set-points'!$A20,0)</f>
        <v>0</v>
      </c>
      <c r="B62" s="67" t="s">
        <v>185</v>
      </c>
      <c r="C62" s="120">
        <f>IF(ABS('400V Set-points'!$O20) &lt; _xlnm.Criteria,'400V Set-points'!$B20,0)</f>
        <v>0</v>
      </c>
      <c r="D62" s="120">
        <f>IF(ABS('400V Set-points'!$O20) &lt; _xlnm.Criteria,'400V Set-points'!$C20,0)</f>
        <v>0</v>
      </c>
      <c r="E62" s="67">
        <f>IF(ABS('400V Set-points'!$O20) &lt; _xlnm.Criteria,'400V Set-points'!$E20,0)</f>
        <v>0</v>
      </c>
      <c r="F62" s="67">
        <f>IF(ABS('400V Set-points'!$O20) &lt; _xlnm.Criteria,'400V Set-points'!$F20,0)</f>
        <v>0</v>
      </c>
      <c r="G62" s="67">
        <f>IF(ABS('400V Set-points'!$O20) &lt; _xlnm.Criteria,'400V Set-points'!$D20,0)</f>
        <v>0</v>
      </c>
      <c r="H62" s="119">
        <f>IF(ABS('400V Set-points'!$O20) &lt; _xlnm.Criteria,'400V Set-points'!$J20,0)</f>
        <v>0</v>
      </c>
      <c r="I62" s="119">
        <f>IF(ABS('400V Set-points'!$O20) &lt; _xlnm.Criteria,'400V Set-points'!$K20,0)</f>
        <v>0</v>
      </c>
      <c r="J62" s="67">
        <f>IF(ABS('400V Set-points'!$O20) &lt; _xlnm.Criteria,'400V Set-points'!$I20,0)</f>
        <v>0</v>
      </c>
    </row>
    <row r="63" spans="1:10" s="67" customFormat="1" x14ac:dyDescent="0.25">
      <c r="A63" s="67">
        <f>IF(ABS('400V Set-points'!$O21) &lt; _xlnm.Criteria,'400V Set-points'!$A21,0)</f>
        <v>0</v>
      </c>
      <c r="B63" s="67" t="s">
        <v>185</v>
      </c>
      <c r="C63" s="120">
        <f>IF(ABS('400V Set-points'!$O21) &lt; _xlnm.Criteria,'400V Set-points'!$B21,0)</f>
        <v>0</v>
      </c>
      <c r="D63" s="120">
        <f>IF(ABS('400V Set-points'!$O21) &lt; _xlnm.Criteria,'400V Set-points'!$C21,0)</f>
        <v>0</v>
      </c>
      <c r="E63" s="67">
        <f>IF(ABS('400V Set-points'!$O21) &lt; _xlnm.Criteria,'400V Set-points'!$E21,0)</f>
        <v>0</v>
      </c>
      <c r="F63" s="67">
        <f>IF(ABS('400V Set-points'!$O21) &lt; _xlnm.Criteria,'400V Set-points'!$F21,0)</f>
        <v>0</v>
      </c>
      <c r="G63" s="67">
        <f>IF(ABS('400V Set-points'!$O21) &lt; _xlnm.Criteria,'400V Set-points'!$D21,0)</f>
        <v>0</v>
      </c>
      <c r="H63" s="119">
        <f>IF(ABS('400V Set-points'!$O21) &lt; _xlnm.Criteria,'400V Set-points'!$J21,0)</f>
        <v>0</v>
      </c>
      <c r="I63" s="119">
        <f>IF(ABS('400V Set-points'!$O21) &lt; _xlnm.Criteria,'400V Set-points'!$K21,0)</f>
        <v>0</v>
      </c>
      <c r="J63" s="67">
        <f>IF(ABS('400V Set-points'!$O21) &lt; _xlnm.Criteria,'400V Set-points'!$I21,0)</f>
        <v>0</v>
      </c>
    </row>
    <row r="64" spans="1:10" s="67" customFormat="1" x14ac:dyDescent="0.25">
      <c r="A64" s="67">
        <f>IF(ABS('400V Set-points'!$O22) &lt; _xlnm.Criteria,'400V Set-points'!$A22,0)</f>
        <v>0</v>
      </c>
      <c r="B64" s="67" t="s">
        <v>185</v>
      </c>
      <c r="C64" s="120">
        <f>IF(ABS('400V Set-points'!$O22) &lt; _xlnm.Criteria,'400V Set-points'!$B22,0)</f>
        <v>0</v>
      </c>
      <c r="D64" s="120">
        <f>IF(ABS('400V Set-points'!$O22) &lt; _xlnm.Criteria,'400V Set-points'!$C22,0)</f>
        <v>0</v>
      </c>
      <c r="E64" s="67">
        <f>IF(ABS('400V Set-points'!$O22) &lt; _xlnm.Criteria,'400V Set-points'!$E22,0)</f>
        <v>0</v>
      </c>
      <c r="F64" s="67">
        <f>IF(ABS('400V Set-points'!$O22) &lt; _xlnm.Criteria,'400V Set-points'!$F22,0)</f>
        <v>0</v>
      </c>
      <c r="G64" s="67">
        <f>IF(ABS('400V Set-points'!$O22) &lt; _xlnm.Criteria,'400V Set-points'!$D22,0)</f>
        <v>0</v>
      </c>
      <c r="H64" s="119">
        <f>IF(ABS('400V Set-points'!$O22) &lt; _xlnm.Criteria,'400V Set-points'!$J22,0)</f>
        <v>0</v>
      </c>
      <c r="I64" s="119">
        <f>IF(ABS('400V Set-points'!$O22) &lt; _xlnm.Criteria,'400V Set-points'!$K22,0)</f>
        <v>0</v>
      </c>
      <c r="J64" s="67">
        <f>IF(ABS('400V Set-points'!$O22) &lt; _xlnm.Criteria,'400V Set-points'!$I22,0)</f>
        <v>0</v>
      </c>
    </row>
    <row r="65" spans="1:10" s="67" customFormat="1" x14ac:dyDescent="0.25">
      <c r="A65" s="67">
        <f>IF(ABS('400V Set-points'!$O23) &lt; _xlnm.Criteria,'400V Set-points'!$A23,0)</f>
        <v>0</v>
      </c>
      <c r="B65" s="67" t="s">
        <v>185</v>
      </c>
      <c r="C65" s="120">
        <f>IF(ABS('400V Set-points'!$O23) &lt; _xlnm.Criteria,'400V Set-points'!$B23,0)</f>
        <v>0</v>
      </c>
      <c r="D65" s="120">
        <f>IF(ABS('400V Set-points'!$O23) &lt; _xlnm.Criteria,'400V Set-points'!$C23,0)</f>
        <v>0</v>
      </c>
      <c r="E65" s="67">
        <f>IF(ABS('400V Set-points'!$O23) &lt; _xlnm.Criteria,'400V Set-points'!$E23,0)</f>
        <v>0</v>
      </c>
      <c r="F65" s="67">
        <f>IF(ABS('400V Set-points'!$O23) &lt; _xlnm.Criteria,'400V Set-points'!$F23,0)</f>
        <v>0</v>
      </c>
      <c r="G65" s="67">
        <f>IF(ABS('400V Set-points'!$O23) &lt; _xlnm.Criteria,'400V Set-points'!$D23,0)</f>
        <v>0</v>
      </c>
      <c r="H65" s="119">
        <f>IF(ABS('400V Set-points'!$O23) &lt; _xlnm.Criteria,'400V Set-points'!$J23,0)</f>
        <v>0</v>
      </c>
      <c r="I65" s="119">
        <f>IF(ABS('400V Set-points'!$O23) &lt; _xlnm.Criteria,'400V Set-points'!$K23,0)</f>
        <v>0</v>
      </c>
      <c r="J65" s="67">
        <f>IF(ABS('400V Set-points'!$O23) &lt; _xlnm.Criteria,'400V Set-points'!$I23,0)</f>
        <v>0</v>
      </c>
    </row>
    <row r="66" spans="1:10" s="67" customFormat="1" x14ac:dyDescent="0.25">
      <c r="A66" s="67" t="str">
        <f>IF(ABS('400V Set-points'!$O24) &lt; _xlnm.Criteria,'400V Set-points'!$A24,0)</f>
        <v>48 HET 6295W</v>
      </c>
      <c r="B66" s="67" t="s">
        <v>185</v>
      </c>
      <c r="C66" s="120">
        <f>IF(ABS('400V Set-points'!$O24) &lt; _xlnm.Criteria,'400V Set-points'!$B24,0)</f>
        <v>302.16000000000003</v>
      </c>
      <c r="D66" s="120">
        <f>IF(ABS('400V Set-points'!$O24) &lt; _xlnm.Criteria,'400V Set-points'!$C24,0)</f>
        <v>25.18</v>
      </c>
      <c r="E66" s="67">
        <f>IF(ABS('400V Set-points'!$O24) &lt; _xlnm.Criteria,'400V Set-points'!$E24,0)</f>
        <v>0.60599999999999998</v>
      </c>
      <c r="F66" s="67">
        <f>IF(ABS('400V Set-points'!$O24) &lt; _xlnm.Criteria,'400V Set-points'!$F24,0)</f>
        <v>2165</v>
      </c>
      <c r="G66" s="67">
        <f>IF(ABS('400V Set-points'!$O24) &lt; _xlnm.Criteria,'400V Set-points'!$D24,0)</f>
        <v>17.231999999999999</v>
      </c>
      <c r="H66" s="119">
        <f>IF(ABS('400V Set-points'!$O24) &lt; _xlnm.Criteria,'400V Set-points'!$J24,0)</f>
        <v>19279.183613067227</v>
      </c>
      <c r="I66" s="119">
        <f>IF(ABS('400V Set-points'!$O24) &lt; _xlnm.Criteria,'400V Set-points'!$K24,0)</f>
        <v>11935.54863687022</v>
      </c>
      <c r="J66" s="67">
        <f>IF(ABS('400V Set-points'!$O24) &lt; _xlnm.Criteria,'400V Set-points'!$I24,0)</f>
        <v>8000</v>
      </c>
    </row>
    <row r="67" spans="1:10" s="67" customFormat="1" x14ac:dyDescent="0.25">
      <c r="A67" s="67">
        <f>IF(ABS('400V Set-points'!$O25) &lt; _xlnm.Criteria,'400V Set-points'!$A25,0)</f>
        <v>0</v>
      </c>
      <c r="B67" s="67" t="s">
        <v>185</v>
      </c>
      <c r="C67" s="120">
        <f>IF(ABS('400V Set-points'!$O25) &lt; _xlnm.Criteria,'400V Set-points'!$B25,0)</f>
        <v>0</v>
      </c>
      <c r="D67" s="120">
        <f>IF(ABS('400V Set-points'!$O25) &lt; _xlnm.Criteria,'400V Set-points'!$C25,0)</f>
        <v>0</v>
      </c>
      <c r="E67" s="67">
        <f>IF(ABS('400V Set-points'!$O25) &lt; _xlnm.Criteria,'400V Set-points'!$E25,0)</f>
        <v>0</v>
      </c>
      <c r="F67" s="67">
        <f>IF(ABS('400V Set-points'!$O25) &lt; _xlnm.Criteria,'400V Set-points'!$F25,0)</f>
        <v>0</v>
      </c>
      <c r="G67" s="67">
        <f>IF(ABS('400V Set-points'!$O25) &lt; _xlnm.Criteria,'400V Set-points'!$D25,0)</f>
        <v>0</v>
      </c>
      <c r="H67" s="119">
        <f>IF(ABS('400V Set-points'!$O25) &lt; _xlnm.Criteria,'400V Set-points'!$J25,0)</f>
        <v>0</v>
      </c>
      <c r="I67" s="119">
        <f>IF(ABS('400V Set-points'!$O25) &lt; _xlnm.Criteria,'400V Set-points'!$K25,0)</f>
        <v>0</v>
      </c>
      <c r="J67" s="67">
        <f>IF(ABS('400V Set-points'!$O25) &lt; _xlnm.Criteria,'400V Set-points'!$I25,0)</f>
        <v>0</v>
      </c>
    </row>
    <row r="68" spans="1:10" s="67" customFormat="1" x14ac:dyDescent="0.25">
      <c r="A68" s="67">
        <f>IF(ABS('400V Set-points'!$O26) &lt; _xlnm.Criteria,'400V Set-points'!$A26,0)</f>
        <v>0</v>
      </c>
      <c r="B68" s="67" t="s">
        <v>185</v>
      </c>
      <c r="C68" s="120">
        <f>IF(ABS('400V Set-points'!$O26) &lt; _xlnm.Criteria,'400V Set-points'!$B26,0)</f>
        <v>0</v>
      </c>
      <c r="D68" s="120">
        <f>IF(ABS('400V Set-points'!$O26) &lt; _xlnm.Criteria,'400V Set-points'!$C26,0)</f>
        <v>0</v>
      </c>
      <c r="E68" s="67">
        <f>IF(ABS('400V Set-points'!$O26) &lt; _xlnm.Criteria,'400V Set-points'!$E26,0)</f>
        <v>0</v>
      </c>
      <c r="F68" s="67">
        <f>IF(ABS('400V Set-points'!$O26) &lt; _xlnm.Criteria,'400V Set-points'!$F26,0)</f>
        <v>0</v>
      </c>
      <c r="G68" s="67">
        <f>IF(ABS('400V Set-points'!$O26) &lt; _xlnm.Criteria,'400V Set-points'!$D26,0)</f>
        <v>0</v>
      </c>
      <c r="H68" s="119">
        <f>IF(ABS('400V Set-points'!$O26) &lt; _xlnm.Criteria,'400V Set-points'!$J26,0)</f>
        <v>0</v>
      </c>
      <c r="I68" s="119">
        <f>IF(ABS('400V Set-points'!$O26) &lt; _xlnm.Criteria,'400V Set-points'!$K26,0)</f>
        <v>0</v>
      </c>
      <c r="J68" s="67">
        <f>IF(ABS('400V Set-points'!$O26) &lt; _xlnm.Criteria,'400V Set-points'!$I26,0)</f>
        <v>0</v>
      </c>
    </row>
    <row r="69" spans="1:10" s="67" customFormat="1" x14ac:dyDescent="0.25">
      <c r="A69" s="67">
        <f>IF(ABS('400V Set-points'!$O27) &lt; _xlnm.Criteria,'400V Set-points'!$A27,0)</f>
        <v>0</v>
      </c>
      <c r="B69" s="67" t="s">
        <v>185</v>
      </c>
      <c r="C69" s="120">
        <f>IF(ABS('400V Set-points'!$O27) &lt; _xlnm.Criteria,'400V Set-points'!$B27,0)</f>
        <v>0</v>
      </c>
      <c r="D69" s="120">
        <f>IF(ABS('400V Set-points'!$O27) &lt; _xlnm.Criteria,'400V Set-points'!$C27,0)</f>
        <v>0</v>
      </c>
      <c r="E69" s="67">
        <f>IF(ABS('400V Set-points'!$O27) &lt; _xlnm.Criteria,'400V Set-points'!$E27,0)</f>
        <v>0</v>
      </c>
      <c r="F69" s="67">
        <f>IF(ABS('400V Set-points'!$O27) &lt; _xlnm.Criteria,'400V Set-points'!$F27,0)</f>
        <v>0</v>
      </c>
      <c r="G69" s="67">
        <f>IF(ABS('400V Set-points'!$O27) &lt; _xlnm.Criteria,'400V Set-points'!$D27,0)</f>
        <v>0</v>
      </c>
      <c r="H69" s="119">
        <f>IF(ABS('400V Set-points'!$O27) &lt; _xlnm.Criteria,'400V Set-points'!$J27,0)</f>
        <v>0</v>
      </c>
      <c r="I69" s="119">
        <f>IF(ABS('400V Set-points'!$O27) &lt; _xlnm.Criteria,'400V Set-points'!$K27,0)</f>
        <v>0</v>
      </c>
      <c r="J69" s="67">
        <f>IF(ABS('400V Set-points'!$O27) &lt; _xlnm.Criteria,'400V Set-points'!$I27,0)</f>
        <v>0</v>
      </c>
    </row>
    <row r="70" spans="1:10" s="67" customFormat="1" x14ac:dyDescent="0.25">
      <c r="A70" s="67">
        <f>IF(ABS('400V Set-points'!$O28) &lt; _xlnm.Criteria,'400V Set-points'!$A28,0)</f>
        <v>0</v>
      </c>
      <c r="B70" s="67" t="s">
        <v>185</v>
      </c>
      <c r="C70" s="120">
        <f>IF(ABS('400V Set-points'!$O28) &lt; _xlnm.Criteria,'400V Set-points'!$B28,0)</f>
        <v>0</v>
      </c>
      <c r="D70" s="120">
        <f>IF(ABS('400V Set-points'!$O28) &lt; _xlnm.Criteria,'400V Set-points'!$C28,0)</f>
        <v>0</v>
      </c>
      <c r="E70" s="67">
        <f>IF(ABS('400V Set-points'!$O28) &lt; _xlnm.Criteria,'400V Set-points'!$E28,0)</f>
        <v>0</v>
      </c>
      <c r="F70" s="67">
        <f>IF(ABS('400V Set-points'!$O28) &lt; _xlnm.Criteria,'400V Set-points'!$F28,0)</f>
        <v>0</v>
      </c>
      <c r="G70" s="67">
        <f>IF(ABS('400V Set-points'!$O28) &lt; _xlnm.Criteria,'400V Set-points'!$D28,0)</f>
        <v>0</v>
      </c>
      <c r="H70" s="119">
        <f>IF(ABS('400V Set-points'!$O28) &lt; _xlnm.Criteria,'400V Set-points'!$J28,0)</f>
        <v>0</v>
      </c>
      <c r="I70" s="119">
        <f>IF(ABS('400V Set-points'!$O28) &lt; _xlnm.Criteria,'400V Set-points'!$K28,0)</f>
        <v>0</v>
      </c>
      <c r="J70" s="67">
        <f>IF(ABS('400V Set-points'!$O28) &lt; _xlnm.Criteria,'400V Set-points'!$I28,0)</f>
        <v>0</v>
      </c>
    </row>
    <row r="71" spans="1:10" s="67" customFormat="1" x14ac:dyDescent="0.25">
      <c r="A71" s="67" t="str">
        <f>IF(ABS('400V Set-points'!$O29) &lt; _xlnm.Criteria,'400V Set-points'!$A29,0)</f>
        <v>48 HET 8061W</v>
      </c>
      <c r="B71" s="67" t="s">
        <v>185</v>
      </c>
      <c r="C71" s="120">
        <f>IF(ABS('400V Set-points'!$O29) &lt; _xlnm.Criteria,'400V Set-points'!$B29,0)</f>
        <v>386.928</v>
      </c>
      <c r="D71" s="120">
        <f>IF(ABS('400V Set-points'!$O29) &lt; _xlnm.Criteria,'400V Set-points'!$C29,0)</f>
        <v>32.244</v>
      </c>
      <c r="E71" s="67">
        <f>IF(ABS('400V Set-points'!$O29) &lt; _xlnm.Criteria,'400V Set-points'!$E29,0)</f>
        <v>0.60599999999999998</v>
      </c>
      <c r="F71" s="67">
        <f>IF(ABS('400V Set-points'!$O29) &lt; _xlnm.Criteria,'400V Set-points'!$F29,0)</f>
        <v>2217</v>
      </c>
      <c r="G71" s="67">
        <f>IF(ABS('400V Set-points'!$O29) &lt; _xlnm.Criteria,'400V Set-points'!$D29,0)</f>
        <v>21.552</v>
      </c>
      <c r="H71" s="119">
        <f>IF(ABS('400V Set-points'!$O29) &lt; _xlnm.Criteria,'400V Set-points'!$J29,0)</f>
        <v>26348.15734859664</v>
      </c>
      <c r="I71" s="119">
        <f>IF(ABS('400V Set-points'!$O29) &lt; _xlnm.Criteria,'400V Set-points'!$K29,0)</f>
        <v>16151.407953145237</v>
      </c>
      <c r="J71" s="67">
        <f>IF(ABS('400V Set-points'!$O29) &lt; _xlnm.Criteria,'400V Set-points'!$I29,0)</f>
        <v>12000</v>
      </c>
    </row>
    <row r="72" spans="1:10" s="67" customFormat="1" x14ac:dyDescent="0.25">
      <c r="A72" s="67">
        <f>IF(ABS('400V Set-points'!$O30) &lt; _xlnm.Criteria,'400V Set-points'!$A30,0)</f>
        <v>0</v>
      </c>
      <c r="B72" s="67" t="s">
        <v>185</v>
      </c>
      <c r="C72" s="120">
        <f>IF(ABS('400V Set-points'!$O30) &lt; _xlnm.Criteria,'400V Set-points'!$B30,0)</f>
        <v>0</v>
      </c>
      <c r="D72" s="120">
        <f>IF(ABS('400V Set-points'!$O30) &lt; _xlnm.Criteria,'400V Set-points'!$C30,0)</f>
        <v>0</v>
      </c>
      <c r="E72" s="67">
        <f>IF(ABS('400V Set-points'!$O30) &lt; _xlnm.Criteria,'400V Set-points'!$E30,0)</f>
        <v>0</v>
      </c>
      <c r="F72" s="67">
        <f>IF(ABS('400V Set-points'!$O30) &lt; _xlnm.Criteria,'400V Set-points'!$F30,0)</f>
        <v>0</v>
      </c>
      <c r="G72" s="67">
        <f>IF(ABS('400V Set-points'!$O30) &lt; _xlnm.Criteria,'400V Set-points'!$D30,0)</f>
        <v>0</v>
      </c>
      <c r="H72" s="119">
        <f>IF(ABS('400V Set-points'!$O30) &lt; _xlnm.Criteria,'400V Set-points'!$J30,0)</f>
        <v>0</v>
      </c>
      <c r="I72" s="119">
        <f>IF(ABS('400V Set-points'!$O30) &lt; _xlnm.Criteria,'400V Set-points'!$K30,0)</f>
        <v>0</v>
      </c>
      <c r="J72" s="67">
        <f>IF(ABS('400V Set-points'!$O30) &lt; _xlnm.Criteria,'400V Set-points'!$I30,0)</f>
        <v>0</v>
      </c>
    </row>
    <row r="73" spans="1:10" s="67" customFormat="1" x14ac:dyDescent="0.25">
      <c r="A73" s="67">
        <f>IF(ABS('400V Set-points'!$O31) &lt; _xlnm.Criteria,'400V Set-points'!$A31,0)</f>
        <v>0</v>
      </c>
      <c r="B73" s="67" t="s">
        <v>185</v>
      </c>
      <c r="C73" s="120">
        <f>IF(ABS('400V Set-points'!$O31) &lt; _xlnm.Criteria,'400V Set-points'!$B31,0)</f>
        <v>0</v>
      </c>
      <c r="D73" s="120">
        <f>IF(ABS('400V Set-points'!$O31) &lt; _xlnm.Criteria,'400V Set-points'!$C31,0)</f>
        <v>0</v>
      </c>
      <c r="E73" s="67">
        <f>IF(ABS('400V Set-points'!$O31) &lt; _xlnm.Criteria,'400V Set-points'!$E31,0)</f>
        <v>0</v>
      </c>
      <c r="F73" s="67">
        <f>IF(ABS('400V Set-points'!$O31) &lt; _xlnm.Criteria,'400V Set-points'!$F31,0)</f>
        <v>0</v>
      </c>
      <c r="G73" s="67">
        <f>IF(ABS('400V Set-points'!$O31) &lt; _xlnm.Criteria,'400V Set-points'!$D31,0)</f>
        <v>0</v>
      </c>
      <c r="H73" s="119">
        <f>IF(ABS('400V Set-points'!$O31) &lt; _xlnm.Criteria,'400V Set-points'!$J31,0)</f>
        <v>0</v>
      </c>
      <c r="I73" s="119">
        <f>IF(ABS('400V Set-points'!$O31) &lt; _xlnm.Criteria,'400V Set-points'!$K31,0)</f>
        <v>0</v>
      </c>
      <c r="J73" s="67">
        <f>IF(ABS('400V Set-points'!$O31) &lt; _xlnm.Criteria,'400V Set-points'!$I31,0)</f>
        <v>0</v>
      </c>
    </row>
    <row r="74" spans="1:10" s="67" customFormat="1" x14ac:dyDescent="0.25">
      <c r="A74" s="67">
        <f>IF(ABS('400V Set-points'!$O32) &lt; _xlnm.Criteria,'400V Set-points'!$A32,0)</f>
        <v>0</v>
      </c>
      <c r="B74" s="67" t="s">
        <v>185</v>
      </c>
      <c r="C74" s="120">
        <f>IF(ABS('400V Set-points'!$O32) &lt; _xlnm.Criteria,'400V Set-points'!$B32,0)</f>
        <v>0</v>
      </c>
      <c r="D74" s="120">
        <f>IF(ABS('400V Set-points'!$O32) &lt; _xlnm.Criteria,'400V Set-points'!$C32,0)</f>
        <v>0</v>
      </c>
      <c r="E74" s="67">
        <f>IF(ABS('400V Set-points'!$O32) &lt; _xlnm.Criteria,'400V Set-points'!$E32,0)</f>
        <v>0</v>
      </c>
      <c r="F74" s="67">
        <f>IF(ABS('400V Set-points'!$O32) &lt; _xlnm.Criteria,'400V Set-points'!$F32,0)</f>
        <v>0</v>
      </c>
      <c r="G74" s="67">
        <f>IF(ABS('400V Set-points'!$O32) &lt; _xlnm.Criteria,'400V Set-points'!$D32,0)</f>
        <v>0</v>
      </c>
      <c r="H74" s="119">
        <f>IF(ABS('400V Set-points'!$O32) &lt; _xlnm.Criteria,'400V Set-points'!$J32,0)</f>
        <v>0</v>
      </c>
      <c r="I74" s="119">
        <f>IF(ABS('400V Set-points'!$O32) &lt; _xlnm.Criteria,'400V Set-points'!$K32,0)</f>
        <v>0</v>
      </c>
      <c r="J74" s="67">
        <f>IF(ABS('400V Set-points'!$O32) &lt; _xlnm.Criteria,'400V Set-points'!$I32,0)</f>
        <v>0</v>
      </c>
    </row>
    <row r="75" spans="1:10" s="67" customFormat="1" x14ac:dyDescent="0.25">
      <c r="A75" s="67">
        <f>IF(ABS('400V Set-points'!$O33) &lt; _xlnm.Criteria,'400V Set-points'!$A33,0)</f>
        <v>0</v>
      </c>
      <c r="B75" s="67" t="s">
        <v>185</v>
      </c>
      <c r="C75" s="120">
        <f>IF(ABS('400V Set-points'!$O33) &lt; _xlnm.Criteria,'400V Set-points'!$B33,0)</f>
        <v>0</v>
      </c>
      <c r="D75" s="120">
        <f>IF(ABS('400V Set-points'!$O33) &lt; _xlnm.Criteria,'400V Set-points'!$C33,0)</f>
        <v>0</v>
      </c>
      <c r="E75" s="67">
        <f>IF(ABS('400V Set-points'!$O33) &lt; _xlnm.Criteria,'400V Set-points'!$E33,0)</f>
        <v>0</v>
      </c>
      <c r="F75" s="67">
        <f>IF(ABS('400V Set-points'!$O33) &lt; _xlnm.Criteria,'400V Set-points'!$F33,0)</f>
        <v>0</v>
      </c>
      <c r="G75" s="67">
        <f>IF(ABS('400V Set-points'!$O33) &lt; _xlnm.Criteria,'400V Set-points'!$D33,0)</f>
        <v>0</v>
      </c>
      <c r="H75" s="119">
        <f>IF(ABS('400V Set-points'!$O33) &lt; _xlnm.Criteria,'400V Set-points'!$J33,0)</f>
        <v>0</v>
      </c>
      <c r="I75" s="119">
        <f>IF(ABS('400V Set-points'!$O33) &lt; _xlnm.Criteria,'400V Set-points'!$K33,0)</f>
        <v>0</v>
      </c>
      <c r="J75" s="67">
        <f>IF(ABS('400V Set-points'!$O33) &lt; _xlnm.Criteria,'400V Set-points'!$I33,0)</f>
        <v>0</v>
      </c>
    </row>
    <row r="76" spans="1:10" s="67" customFormat="1" x14ac:dyDescent="0.25">
      <c r="A76" s="67">
        <f>IF(ABS('400V Set-points'!$O34) &lt; _xlnm.Criteria,'400V Set-points'!$A34,0)</f>
        <v>0</v>
      </c>
      <c r="B76" s="67" t="s">
        <v>185</v>
      </c>
      <c r="C76" s="120">
        <f>IF(ABS('400V Set-points'!$O34) &lt; _xlnm.Criteria,'400V Set-points'!$B34,0)</f>
        <v>0</v>
      </c>
      <c r="D76" s="120">
        <f>IF(ABS('400V Set-points'!$O34) &lt; _xlnm.Criteria,'400V Set-points'!$C34,0)</f>
        <v>0</v>
      </c>
      <c r="E76" s="67">
        <f>IF(ABS('400V Set-points'!$O34) &lt; _xlnm.Criteria,'400V Set-points'!$E34,0)</f>
        <v>0</v>
      </c>
      <c r="F76" s="67">
        <f>IF(ABS('400V Set-points'!$O34) &lt; _xlnm.Criteria,'400V Set-points'!$F34,0)</f>
        <v>0</v>
      </c>
      <c r="G76" s="67">
        <f>IF(ABS('400V Set-points'!$O34) &lt; _xlnm.Criteria,'400V Set-points'!$D34,0)</f>
        <v>0</v>
      </c>
      <c r="H76" s="119">
        <f>IF(ABS('400V Set-points'!$O34) &lt; _xlnm.Criteria,'400V Set-points'!$J34,0)</f>
        <v>0</v>
      </c>
      <c r="I76" s="119">
        <f>IF(ABS('400V Set-points'!$O34) &lt; _xlnm.Criteria,'400V Set-points'!$K34,0)</f>
        <v>0</v>
      </c>
      <c r="J76" s="67">
        <f>IF(ABS('400V Set-points'!$O34) &lt; _xlnm.Criteria,'400V Set-points'!$I34,0)</f>
        <v>0</v>
      </c>
    </row>
    <row r="77" spans="1:10" s="67" customFormat="1" x14ac:dyDescent="0.25">
      <c r="A77" s="67">
        <f>IF(ABS('400V Set-points'!$O35) &lt; _xlnm.Criteria,'400V Set-points'!$A35,0)</f>
        <v>0</v>
      </c>
      <c r="B77" s="67" t="s">
        <v>185</v>
      </c>
      <c r="C77" s="120">
        <f>IF(ABS('400V Set-points'!$O35) &lt; _xlnm.Criteria,'400V Set-points'!$B35,0)</f>
        <v>0</v>
      </c>
      <c r="D77" s="120">
        <f>IF(ABS('400V Set-points'!$O35) &lt; _xlnm.Criteria,'400V Set-points'!$C35,0)</f>
        <v>0</v>
      </c>
      <c r="E77" s="67">
        <f>IF(ABS('400V Set-points'!$O35) &lt; _xlnm.Criteria,'400V Set-points'!$E35,0)</f>
        <v>0</v>
      </c>
      <c r="F77" s="67">
        <f>IF(ABS('400V Set-points'!$O35) &lt; _xlnm.Criteria,'400V Set-points'!$F35,0)</f>
        <v>0</v>
      </c>
      <c r="G77" s="67">
        <f>IF(ABS('400V Set-points'!$O35) &lt; _xlnm.Criteria,'400V Set-points'!$D35,0)</f>
        <v>0</v>
      </c>
      <c r="H77" s="119">
        <f>IF(ABS('400V Set-points'!$O35) &lt; _xlnm.Criteria,'400V Set-points'!$J35,0)</f>
        <v>0</v>
      </c>
      <c r="I77" s="119">
        <f>IF(ABS('400V Set-points'!$O35) &lt; _xlnm.Criteria,'400V Set-points'!$K35,0)</f>
        <v>0</v>
      </c>
      <c r="J77" s="67">
        <f>IF(ABS('400V Set-points'!$O35) &lt; _xlnm.Criteria,'400V Set-points'!$I35,0)</f>
        <v>0</v>
      </c>
    </row>
    <row r="78" spans="1:10" s="67" customFormat="1" x14ac:dyDescent="0.25">
      <c r="A78" s="67" t="str">
        <f>IF(ABS('400V Set-points'!$O36) &lt; _xlnm.Criteria,'400V Set-points'!$A36,0)</f>
        <v>64 HET 6295W</v>
      </c>
      <c r="B78" s="67" t="s">
        <v>185</v>
      </c>
      <c r="C78" s="120">
        <f>IF(ABS('400V Set-points'!$O36) &lt; _xlnm.Criteria,'400V Set-points'!$B36,0)</f>
        <v>402.88</v>
      </c>
      <c r="D78" s="120">
        <f>IF(ABS('400V Set-points'!$O36) &lt; _xlnm.Criteria,'400V Set-points'!$C36,0)</f>
        <v>25.18</v>
      </c>
      <c r="E78" s="67">
        <f>IF(ABS('400V Set-points'!$O36) &lt; _xlnm.Criteria,'400V Set-points'!$E36,0)</f>
        <v>0.60599999999999998</v>
      </c>
      <c r="F78" s="67">
        <f>IF(ABS('400V Set-points'!$O36) &lt; _xlnm.Criteria,'400V Set-points'!$F36,0)</f>
        <v>2165</v>
      </c>
      <c r="G78" s="67">
        <f>IF(ABS('400V Set-points'!$O36) &lt; _xlnm.Criteria,'400V Set-points'!$D36,0)</f>
        <v>22.975999999999999</v>
      </c>
      <c r="H78" s="119">
        <f>IF(ABS('400V Set-points'!$O36) &lt; _xlnm.Criteria,'400V Set-points'!$J36,0)</f>
        <v>28255.760000000002</v>
      </c>
      <c r="I78" s="119">
        <f>IF(ABS('400V Set-points'!$O36) &lt; _xlnm.Criteria,'400V Set-points'!$K36,0)</f>
        <v>17563.386086419658</v>
      </c>
      <c r="J78" s="67">
        <f>IF(ABS('400V Set-points'!$O36) &lt; _xlnm.Criteria,'400V Set-points'!$I36,0)</f>
        <v>12000</v>
      </c>
    </row>
    <row r="79" spans="1:10" s="67" customFormat="1" x14ac:dyDescent="0.25">
      <c r="A79" s="67" t="str">
        <f>IF(ABS('400V Set-points'!$O37) &lt; _xlnm.Criteria,'400V Set-points'!$A37,0)</f>
        <v>64 HET 6295W</v>
      </c>
      <c r="B79" s="67" t="s">
        <v>185</v>
      </c>
      <c r="C79" s="120">
        <f>IF(ABS('400V Set-points'!$O37) &lt; _xlnm.Criteria,'400V Set-points'!$B37,0)</f>
        <v>402.88</v>
      </c>
      <c r="D79" s="120">
        <f>IF(ABS('400V Set-points'!$O37) &lt; _xlnm.Criteria,'400V Set-points'!$C37,0)</f>
        <v>25.18</v>
      </c>
      <c r="E79" s="67">
        <f>IF(ABS('400V Set-points'!$O37) &lt; _xlnm.Criteria,'400V Set-points'!$E37,0)</f>
        <v>0.60599999999999998</v>
      </c>
      <c r="F79" s="67">
        <f>IF(ABS('400V Set-points'!$O37) &lt; _xlnm.Criteria,'400V Set-points'!$F37,0)</f>
        <v>2165</v>
      </c>
      <c r="G79" s="67">
        <f>IF(ABS('400V Set-points'!$O37) &lt; _xlnm.Criteria,'400V Set-points'!$D37,0)</f>
        <v>22.975999999999999</v>
      </c>
      <c r="H79" s="119">
        <f>IF(ABS('400V Set-points'!$O37) &lt; _xlnm.Criteria,'400V Set-points'!$J37,0)</f>
        <v>32255.760000000002</v>
      </c>
      <c r="I79" s="119">
        <f>IF(ABS('400V Set-points'!$O37) &lt; _xlnm.Criteria,'400V Set-points'!$K37,0)</f>
        <v>20639.66629501868</v>
      </c>
      <c r="J79" s="67">
        <f>IF(ABS('400V Set-points'!$O37) &lt; _xlnm.Criteria,'400V Set-points'!$I37,0)</f>
        <v>16000</v>
      </c>
    </row>
    <row r="80" spans="1:10" s="67" customFormat="1" x14ac:dyDescent="0.25">
      <c r="A80" s="67">
        <f>IF(ABS('400V Set-points'!$O38) &lt; _xlnm.Criteria,'400V Set-points'!$A38,0)</f>
        <v>0</v>
      </c>
      <c r="B80" s="67" t="s">
        <v>185</v>
      </c>
      <c r="C80" s="120">
        <f>IF(ABS('400V Set-points'!$O38) &lt; _xlnm.Criteria,'400V Set-points'!$B38,0)</f>
        <v>0</v>
      </c>
      <c r="D80" s="120">
        <f>IF(ABS('400V Set-points'!$O38) &lt; _xlnm.Criteria,'400V Set-points'!$C38,0)</f>
        <v>0</v>
      </c>
      <c r="E80" s="67">
        <f>IF(ABS('400V Set-points'!$O38) &lt; _xlnm.Criteria,'400V Set-points'!$E38,0)</f>
        <v>0</v>
      </c>
      <c r="F80" s="67">
        <f>IF(ABS('400V Set-points'!$O38) &lt; _xlnm.Criteria,'400V Set-points'!$F38,0)</f>
        <v>0</v>
      </c>
      <c r="G80" s="67">
        <f>IF(ABS('400V Set-points'!$O38) &lt; _xlnm.Criteria,'400V Set-points'!$D38,0)</f>
        <v>0</v>
      </c>
      <c r="H80" s="119">
        <f>IF(ABS('400V Set-points'!$O38) &lt; _xlnm.Criteria,'400V Set-points'!$J38,0)</f>
        <v>0</v>
      </c>
      <c r="I80" s="119">
        <f>IF(ABS('400V Set-points'!$O38) &lt; _xlnm.Criteria,'400V Set-points'!$K38,0)</f>
        <v>0</v>
      </c>
      <c r="J80" s="67">
        <f>IF(ABS('400V Set-points'!$O38) &lt; _xlnm.Criteria,'400V Set-points'!$I38,0)</f>
        <v>0</v>
      </c>
    </row>
    <row r="81" spans="1:10" s="67" customFormat="1" x14ac:dyDescent="0.25">
      <c r="A81" s="67">
        <f>IF(ABS('400V Set-points'!$O39) &lt; _xlnm.Criteria,'400V Set-points'!$A39,0)</f>
        <v>0</v>
      </c>
      <c r="B81" s="67" t="s">
        <v>185</v>
      </c>
      <c r="C81" s="120">
        <f>IF(ABS('400V Set-points'!$O39) &lt; _xlnm.Criteria,'400V Set-points'!$B39,0)</f>
        <v>0</v>
      </c>
      <c r="D81" s="120">
        <f>IF(ABS('400V Set-points'!$O39) &lt; _xlnm.Criteria,'400V Set-points'!$C39,0)</f>
        <v>0</v>
      </c>
      <c r="E81" s="67">
        <f>IF(ABS('400V Set-points'!$O39) &lt; _xlnm.Criteria,'400V Set-points'!$E39,0)</f>
        <v>0</v>
      </c>
      <c r="F81" s="67">
        <f>IF(ABS('400V Set-points'!$O39) &lt; _xlnm.Criteria,'400V Set-points'!$F39,0)</f>
        <v>0</v>
      </c>
      <c r="G81" s="67">
        <f>IF(ABS('400V Set-points'!$O39) &lt; _xlnm.Criteria,'400V Set-points'!$D39,0)</f>
        <v>0</v>
      </c>
      <c r="H81" s="119">
        <f>IF(ABS('400V Set-points'!$O39) &lt; _xlnm.Criteria,'400V Set-points'!$J39,0)</f>
        <v>0</v>
      </c>
      <c r="I81" s="119">
        <f>IF(ABS('400V Set-points'!$O39) &lt; _xlnm.Criteria,'400V Set-points'!$K39,0)</f>
        <v>0</v>
      </c>
      <c r="J81" s="67">
        <f>IF(ABS('400V Set-points'!$O39) &lt; _xlnm.Criteria,'400V Set-points'!$I39,0)</f>
        <v>0</v>
      </c>
    </row>
    <row r="82" spans="1:10" s="67" customFormat="1" x14ac:dyDescent="0.25">
      <c r="A82" s="67">
        <f>IF(ABS('400V Set-points'!$O40) &lt; _xlnm.Criteria,'400V Set-points'!$A40,0)</f>
        <v>0</v>
      </c>
      <c r="B82" s="67" t="s">
        <v>185</v>
      </c>
      <c r="C82" s="120">
        <f>IF(ABS('400V Set-points'!$O40) &lt; _xlnm.Criteria,'400V Set-points'!$B40,0)</f>
        <v>0</v>
      </c>
      <c r="D82" s="120">
        <f>IF(ABS('400V Set-points'!$O40) &lt; _xlnm.Criteria,'400V Set-points'!$C40,0)</f>
        <v>0</v>
      </c>
      <c r="E82" s="67">
        <f>IF(ABS('400V Set-points'!$O40) &lt; _xlnm.Criteria,'400V Set-points'!$E40,0)</f>
        <v>0</v>
      </c>
      <c r="F82" s="67">
        <f>IF(ABS('400V Set-points'!$O40) &lt; _xlnm.Criteria,'400V Set-points'!$F40,0)</f>
        <v>0</v>
      </c>
      <c r="G82" s="67">
        <f>IF(ABS('400V Set-points'!$O40) &lt; _xlnm.Criteria,'400V Set-points'!$D40,0)</f>
        <v>0</v>
      </c>
      <c r="H82" s="119">
        <f>IF(ABS('400V Set-points'!$O40) &lt; _xlnm.Criteria,'400V Set-points'!$J40,0)</f>
        <v>0</v>
      </c>
      <c r="I82" s="119">
        <f>IF(ABS('400V Set-points'!$O40) &lt; _xlnm.Criteria,'400V Set-points'!$K40,0)</f>
        <v>0</v>
      </c>
      <c r="J82" s="67">
        <f>IF(ABS('400V Set-points'!$O40) &lt; _xlnm.Criteria,'400V Set-points'!$I40,0)</f>
        <v>0</v>
      </c>
    </row>
    <row r="83" spans="1:10" s="67" customFormat="1" x14ac:dyDescent="0.25">
      <c r="A83" s="67" t="str">
        <f>IF(ABS('400V Set-points'!$O41) &lt; _xlnm.Criteria,'400V Set-points'!$A41,0)</f>
        <v>64 HET 8061W</v>
      </c>
      <c r="B83" s="67" t="s">
        <v>185</v>
      </c>
      <c r="C83" s="120">
        <f>IF(ABS('400V Set-points'!$O41) &lt; _xlnm.Criteria,'400V Set-points'!$B41,0)</f>
        <v>515.904</v>
      </c>
      <c r="D83" s="120">
        <f>IF(ABS('400V Set-points'!$O41) &lt; _xlnm.Criteria,'400V Set-points'!$C41,0)</f>
        <v>32.244</v>
      </c>
      <c r="E83" s="67">
        <f>IF(ABS('400V Set-points'!$O41) &lt; _xlnm.Criteria,'400V Set-points'!$E41,0)</f>
        <v>0.60599999999999998</v>
      </c>
      <c r="F83" s="67">
        <f>IF(ABS('400V Set-points'!$O41) &lt; _xlnm.Criteria,'400V Set-points'!$F41,0)</f>
        <v>2217</v>
      </c>
      <c r="G83" s="67">
        <f>IF(ABS('400V Set-points'!$O41) &lt; _xlnm.Criteria,'400V Set-points'!$D41,0)</f>
        <v>28.736000000000001</v>
      </c>
      <c r="H83" s="119">
        <f>IF(ABS('400V Set-points'!$O41) &lt; _xlnm.Criteria,'400V Set-points'!$J41,0)</f>
        <v>37017.72</v>
      </c>
      <c r="I83" s="119">
        <f>IF(ABS('400V Set-points'!$O41) &lt; _xlnm.Criteria,'400V Set-points'!$K41,0)</f>
        <v>22477.310005789532</v>
      </c>
      <c r="J83" s="67">
        <f>IF(ABS('400V Set-points'!$O41) &lt; _xlnm.Criteria,'400V Set-points'!$I41,0)</f>
        <v>16000</v>
      </c>
    </row>
    <row r="84" spans="1:10" s="67" customFormat="1" x14ac:dyDescent="0.25">
      <c r="A84" s="67" t="str">
        <f>IF(ABS('400V Set-points'!$O42) &lt; _xlnm.Criteria,'400V Set-points'!$A42,0)</f>
        <v>64 HET 8061W</v>
      </c>
      <c r="B84" s="67" t="s">
        <v>185</v>
      </c>
      <c r="C84" s="120">
        <f>IF(ABS('400V Set-points'!$O42) &lt; _xlnm.Criteria,'400V Set-points'!$B42,0)</f>
        <v>515.904</v>
      </c>
      <c r="D84" s="120">
        <f>IF(ABS('400V Set-points'!$O42) &lt; _xlnm.Criteria,'400V Set-points'!$C42,0)</f>
        <v>32.244</v>
      </c>
      <c r="E84" s="67">
        <f>IF(ABS('400V Set-points'!$O42) &lt; _xlnm.Criteria,'400V Set-points'!$E42,0)</f>
        <v>0.60599999999999998</v>
      </c>
      <c r="F84" s="67">
        <f>IF(ABS('400V Set-points'!$O42) &lt; _xlnm.Criteria,'400V Set-points'!$F42,0)</f>
        <v>2217</v>
      </c>
      <c r="G84" s="67">
        <f>IF(ABS('400V Set-points'!$O42) &lt; _xlnm.Criteria,'400V Set-points'!$D42,0)</f>
        <v>28.736000000000001</v>
      </c>
      <c r="H84" s="119">
        <f>IF(ABS('400V Set-points'!$O42) &lt; _xlnm.Criteria,'400V Set-points'!$J42,0)</f>
        <v>45017.72</v>
      </c>
      <c r="I84" s="119">
        <f>IF(ABS('400V Set-points'!$O42) &lt; _xlnm.Criteria,'400V Set-points'!$K42,0)</f>
        <v>28468.899985679102</v>
      </c>
      <c r="J84" s="67">
        <f>IF(ABS('400V Set-points'!$O42) &lt; _xlnm.Criteria,'400V Set-points'!$I42,0)</f>
        <v>24000</v>
      </c>
    </row>
    <row r="85" spans="1:10" s="67" customFormat="1" x14ac:dyDescent="0.25">
      <c r="A85" s="67">
        <f>IF(ABS('400V Set-points'!$O43) &lt; _xlnm.Criteria,'400V Set-points'!$A43,0)</f>
        <v>0</v>
      </c>
      <c r="B85" s="67" t="s">
        <v>185</v>
      </c>
      <c r="C85" s="120">
        <f>IF(ABS('400V Set-points'!$O43) &lt; _xlnm.Criteria,'400V Set-points'!$B43,0)</f>
        <v>0</v>
      </c>
      <c r="D85" s="120">
        <f>IF(ABS('400V Set-points'!$O43) &lt; _xlnm.Criteria,'400V Set-points'!$C43,0)</f>
        <v>0</v>
      </c>
      <c r="E85" s="67">
        <f>IF(ABS('400V Set-points'!$O43) &lt; _xlnm.Criteria,'400V Set-points'!$E43,0)</f>
        <v>0</v>
      </c>
      <c r="F85" s="67">
        <f>IF(ABS('400V Set-points'!$O43) &lt; _xlnm.Criteria,'400V Set-points'!$F43,0)</f>
        <v>0</v>
      </c>
      <c r="G85" s="67">
        <f>IF(ABS('400V Set-points'!$O43) &lt; _xlnm.Criteria,'400V Set-points'!$D43,0)</f>
        <v>0</v>
      </c>
      <c r="H85" s="119">
        <f>IF(ABS('400V Set-points'!$O43) &lt; _xlnm.Criteria,'400V Set-points'!$J43,0)</f>
        <v>0</v>
      </c>
      <c r="I85" s="119">
        <f>IF(ABS('400V Set-points'!$O43) &lt; _xlnm.Criteria,'400V Set-points'!$K43,0)</f>
        <v>0</v>
      </c>
      <c r="J85" s="67">
        <f>IF(ABS('400V Set-points'!$O43) &lt; _xlnm.Criteria,'400V Set-points'!$I43,0)</f>
        <v>0</v>
      </c>
    </row>
    <row r="86" spans="1:10" x14ac:dyDescent="0.25">
      <c r="A86">
        <f>IF(ABS('600V Set-points'!$O2) &lt; _xlnm.Criteria,'600V Set-points'!$A2,0)</f>
        <v>0</v>
      </c>
      <c r="B86" t="s">
        <v>186</v>
      </c>
      <c r="C86" s="12">
        <f>IF(ABS('600V Set-points'!$O2) &lt; _xlnm.Criteria,'600V Set-points'!$B2,0)</f>
        <v>0</v>
      </c>
      <c r="D86" s="12">
        <f>IF(ABS('600V Set-points'!$O2) &lt; _xlnm.Criteria,'600V Set-points'!$C2,0)</f>
        <v>0</v>
      </c>
      <c r="E86">
        <f>IF(ABS('600V Set-points'!$O2) &lt; _xlnm.Criteria,'600V Set-points'!$E2,0)</f>
        <v>0</v>
      </c>
      <c r="F86">
        <f>IF(ABS('600V Set-points'!$O2) &lt; _xlnm.Criteria,'600V Set-points'!$F2,0)</f>
        <v>0</v>
      </c>
      <c r="G86">
        <f>IF(ABS('600V Set-points'!$O2) &lt; _xlnm.Criteria,'600V Set-points'!$D2,0)</f>
        <v>0</v>
      </c>
      <c r="H86" s="55">
        <f>IF(ABS('600V Set-points'!$O2) &lt; _xlnm.Criteria,'600V Set-points'!$J2,0)</f>
        <v>0</v>
      </c>
      <c r="I86" s="55">
        <f>IF(ABS('600V Set-points'!$O2) &lt; _xlnm.Criteria,'600V Set-points'!$K2,0)</f>
        <v>0</v>
      </c>
      <c r="J86">
        <f>IF(ABS('600V Set-points'!$O2) &lt; _xlnm.Criteria,'600V Set-points'!$I2,0)</f>
        <v>0</v>
      </c>
    </row>
    <row r="87" spans="1:10" x14ac:dyDescent="0.25">
      <c r="A87">
        <f>IF(ABS('600V Set-points'!$O3) &lt; _xlnm.Criteria,'600V Set-points'!$A3,0)</f>
        <v>0</v>
      </c>
      <c r="B87" t="s">
        <v>186</v>
      </c>
      <c r="C87" s="12">
        <f>IF(ABS('600V Set-points'!$O3) &lt; _xlnm.Criteria,'600V Set-points'!$B3,0)</f>
        <v>0</v>
      </c>
      <c r="D87" s="12">
        <f>IF(ABS('600V Set-points'!$O3) &lt; _xlnm.Criteria,'600V Set-points'!$C3,0)</f>
        <v>0</v>
      </c>
      <c r="E87">
        <f>IF(ABS('600V Set-points'!$O3) &lt; _xlnm.Criteria,'600V Set-points'!$E3,0)</f>
        <v>0</v>
      </c>
      <c r="F87">
        <f>IF(ABS('600V Set-points'!$O3) &lt; _xlnm.Criteria,'600V Set-points'!$F3,0)</f>
        <v>0</v>
      </c>
      <c r="G87">
        <f>IF(ABS('600V Set-points'!$O3) &lt; _xlnm.Criteria,'600V Set-points'!$D3,0)</f>
        <v>0</v>
      </c>
      <c r="H87" s="55">
        <f>IF(ABS('600V Set-points'!$O3) &lt; _xlnm.Criteria,'600V Set-points'!$J3,0)</f>
        <v>0</v>
      </c>
      <c r="I87" s="55">
        <f>IF(ABS('600V Set-points'!$O3) &lt; _xlnm.Criteria,'600V Set-points'!$K3,0)</f>
        <v>0</v>
      </c>
      <c r="J87">
        <f>IF(ABS('600V Set-points'!$O3) &lt; _xlnm.Criteria,'600V Set-points'!$I3,0)</f>
        <v>0</v>
      </c>
    </row>
    <row r="88" spans="1:10" x14ac:dyDescent="0.25">
      <c r="A88">
        <f>IF(ABS('600V Set-points'!$O4) &lt; _xlnm.Criteria,'600V Set-points'!$A4,0)</f>
        <v>0</v>
      </c>
      <c r="B88" t="s">
        <v>186</v>
      </c>
      <c r="C88" s="12">
        <f>IF(ABS('600V Set-points'!$O4) &lt; _xlnm.Criteria,'600V Set-points'!$B4,0)</f>
        <v>0</v>
      </c>
      <c r="D88" s="12">
        <f>IF(ABS('600V Set-points'!$O4) &lt; _xlnm.Criteria,'600V Set-points'!$C4,0)</f>
        <v>0</v>
      </c>
      <c r="E88">
        <f>IF(ABS('600V Set-points'!$O4) &lt; _xlnm.Criteria,'600V Set-points'!$E4,0)</f>
        <v>0</v>
      </c>
      <c r="F88">
        <f>IF(ABS('600V Set-points'!$O4) &lt; _xlnm.Criteria,'600V Set-points'!$F4,0)</f>
        <v>0</v>
      </c>
      <c r="G88">
        <f>IF(ABS('600V Set-points'!$O4) &lt; _xlnm.Criteria,'600V Set-points'!$D4,0)</f>
        <v>0</v>
      </c>
      <c r="H88" s="55">
        <f>IF(ABS('600V Set-points'!$O4) &lt; _xlnm.Criteria,'600V Set-points'!$J4,0)</f>
        <v>0</v>
      </c>
      <c r="I88" s="55">
        <f>IF(ABS('600V Set-points'!$O4) &lt; _xlnm.Criteria,'600V Set-points'!$K4,0)</f>
        <v>0</v>
      </c>
      <c r="J88">
        <f>IF(ABS('600V Set-points'!$O4) &lt; _xlnm.Criteria,'600V Set-points'!$I4,0)</f>
        <v>0</v>
      </c>
    </row>
    <row r="89" spans="1:10" x14ac:dyDescent="0.25">
      <c r="A89" t="str">
        <f>IF(ABS('600V Set-points'!$O5) &lt; _xlnm.Criteria,'600V Set-points'!$A5,0)</f>
        <v>16 HET 6327W</v>
      </c>
      <c r="B89" t="s">
        <v>186</v>
      </c>
      <c r="C89" s="12">
        <f>IF(ABS('600V Set-points'!$O5) &lt; _xlnm.Criteria,'600V Set-points'!$B5,0)</f>
        <v>101.232</v>
      </c>
      <c r="D89" s="12">
        <f>IF(ABS('600V Set-points'!$O5) &lt; _xlnm.Criteria,'600V Set-points'!$C5,0)</f>
        <v>25.308</v>
      </c>
      <c r="E89">
        <f>IF(ABS('600V Set-points'!$O5) &lt; _xlnm.Criteria,'600V Set-points'!$E5,0)</f>
        <v>0.60599999999999998</v>
      </c>
      <c r="F89">
        <f>IF(ABS('600V Set-points'!$O5) &lt; _xlnm.Criteria,'600V Set-points'!$F5,0)</f>
        <v>2583</v>
      </c>
      <c r="G89">
        <f>IF(ABS('600V Set-points'!$O5) &lt; _xlnm.Criteria,'600V Set-points'!$D5,0)</f>
        <v>4.72</v>
      </c>
      <c r="H89" s="55">
        <f>IF(ABS('600V Set-points'!$O5) &lt; _xlnm.Criteria,'600V Set-points'!$J5,0)</f>
        <v>6049.4007117450983</v>
      </c>
      <c r="I89" s="55">
        <f>IF(ABS('600V Set-points'!$O5) &lt; _xlnm.Criteria,'600V Set-points'!$K5,0)</f>
        <v>2972.0806905330473</v>
      </c>
      <c r="J89">
        <f>IF(ABS('600V Set-points'!$O5) &lt; _xlnm.Criteria,'600V Set-points'!$I5,0)</f>
        <v>2000</v>
      </c>
    </row>
    <row r="90" spans="1:10" x14ac:dyDescent="0.25">
      <c r="A90">
        <f>IF(ABS('600V Set-points'!$O6) &lt; _xlnm.Criteria,'600V Set-points'!$A6,0)</f>
        <v>0</v>
      </c>
      <c r="B90" t="s">
        <v>186</v>
      </c>
      <c r="C90" s="12">
        <f>IF(ABS('600V Set-points'!$O6) &lt; _xlnm.Criteria,'600V Set-points'!$B6,0)</f>
        <v>0</v>
      </c>
      <c r="D90" s="12">
        <f>IF(ABS('600V Set-points'!$O6) &lt; _xlnm.Criteria,'600V Set-points'!$C6,0)</f>
        <v>0</v>
      </c>
      <c r="E90">
        <f>IF(ABS('600V Set-points'!$O6) &lt; _xlnm.Criteria,'600V Set-points'!$E6,0)</f>
        <v>0</v>
      </c>
      <c r="F90">
        <f>IF(ABS('600V Set-points'!$O6) &lt; _xlnm.Criteria,'600V Set-points'!$F6,0)</f>
        <v>0</v>
      </c>
      <c r="G90">
        <f>IF(ABS('600V Set-points'!$O6) &lt; _xlnm.Criteria,'600V Set-points'!$D6,0)</f>
        <v>0</v>
      </c>
      <c r="H90" s="55">
        <f>IF(ABS('600V Set-points'!$O6) &lt; _xlnm.Criteria,'600V Set-points'!$J6,0)</f>
        <v>0</v>
      </c>
      <c r="I90" s="55">
        <f>IF(ABS('600V Set-points'!$O6) &lt; _xlnm.Criteria,'600V Set-points'!$K6,0)</f>
        <v>0</v>
      </c>
      <c r="J90">
        <f>IF(ABS('600V Set-points'!$O6) &lt; _xlnm.Criteria,'600V Set-points'!$I6,0)</f>
        <v>0</v>
      </c>
    </row>
    <row r="91" spans="1:10" x14ac:dyDescent="0.25">
      <c r="A91">
        <f>IF(ABS('600V Set-points'!$O7) &lt; _xlnm.Criteria,'600V Set-points'!$A7,0)</f>
        <v>0</v>
      </c>
      <c r="B91" t="s">
        <v>186</v>
      </c>
      <c r="C91" s="12">
        <f>IF(ABS('600V Set-points'!$O7) &lt; _xlnm.Criteria,'600V Set-points'!$B7,0)</f>
        <v>0</v>
      </c>
      <c r="D91" s="12">
        <f>IF(ABS('600V Set-points'!$O7) &lt; _xlnm.Criteria,'600V Set-points'!$C7,0)</f>
        <v>0</v>
      </c>
      <c r="E91">
        <f>IF(ABS('600V Set-points'!$O7) &lt; _xlnm.Criteria,'600V Set-points'!$E7,0)</f>
        <v>0</v>
      </c>
      <c r="F91">
        <f>IF(ABS('600V Set-points'!$O7) &lt; _xlnm.Criteria,'600V Set-points'!$F7,0)</f>
        <v>0</v>
      </c>
      <c r="G91">
        <f>IF(ABS('600V Set-points'!$O7) &lt; _xlnm.Criteria,'600V Set-points'!$D7,0)</f>
        <v>0</v>
      </c>
      <c r="H91" s="55">
        <f>IF(ABS('600V Set-points'!$O7) &lt; _xlnm.Criteria,'600V Set-points'!$J7,0)</f>
        <v>0</v>
      </c>
      <c r="I91" s="55">
        <f>IF(ABS('600V Set-points'!$O7) &lt; _xlnm.Criteria,'600V Set-points'!$K7,0)</f>
        <v>0</v>
      </c>
      <c r="J91">
        <f>IF(ABS('600V Set-points'!$O7) &lt; _xlnm.Criteria,'600V Set-points'!$I7,0)</f>
        <v>0</v>
      </c>
    </row>
    <row r="92" spans="1:10" x14ac:dyDescent="0.25">
      <c r="A92" t="str">
        <f>IF(ABS('600V Set-points'!$O8) &lt; _xlnm.Criteria,'600V Set-points'!$A8,0)</f>
        <v>16 HET 8058W</v>
      </c>
      <c r="B92" t="s">
        <v>186</v>
      </c>
      <c r="C92" s="12">
        <f>IF(ABS('600V Set-points'!$O8) &lt; _xlnm.Criteria,'600V Set-points'!$B8,0)</f>
        <v>128.928</v>
      </c>
      <c r="D92" s="12">
        <f>IF(ABS('600V Set-points'!$O8) &lt; _xlnm.Criteria,'600V Set-points'!$C8,0)</f>
        <v>32.231999999999999</v>
      </c>
      <c r="E92">
        <f>IF(ABS('600V Set-points'!$O8) &lt; _xlnm.Criteria,'600V Set-points'!$E8,0)</f>
        <v>0.60599999999999998</v>
      </c>
      <c r="F92">
        <f>IF(ABS('600V Set-points'!$O8) &lt; _xlnm.Criteria,'600V Set-points'!$F8,0)</f>
        <v>2637</v>
      </c>
      <c r="G92">
        <f>IF(ABS('600V Set-points'!$O8) &lt; _xlnm.Criteria,'600V Set-points'!$D8,0)</f>
        <v>6.032</v>
      </c>
      <c r="H92" s="55">
        <f>IF(ABS('600V Set-points'!$O8) &lt; _xlnm.Criteria,'600V Set-points'!$J8,0)</f>
        <v>6500.0429475098044</v>
      </c>
      <c r="I92" s="55">
        <f>IF(ABS('600V Set-points'!$O8) &lt; _xlnm.Criteria,'600V Set-points'!$K8,0)</f>
        <v>3091.0712552088294</v>
      </c>
      <c r="J92">
        <f>IF(ABS('600V Set-points'!$O8) &lt; _xlnm.Criteria,'600V Set-points'!$I8,0)</f>
        <v>2000</v>
      </c>
    </row>
    <row r="93" spans="1:10" x14ac:dyDescent="0.25">
      <c r="A93">
        <f>IF(ABS('600V Set-points'!$O9) &lt; _xlnm.Criteria,'600V Set-points'!$A9,0)</f>
        <v>0</v>
      </c>
      <c r="B93" t="s">
        <v>186</v>
      </c>
      <c r="C93" s="12">
        <f>IF(ABS('600V Set-points'!$O9) &lt; _xlnm.Criteria,'600V Set-points'!$B9,0)</f>
        <v>0</v>
      </c>
      <c r="D93" s="12">
        <f>IF(ABS('600V Set-points'!$O9) &lt; _xlnm.Criteria,'600V Set-points'!$C9,0)</f>
        <v>0</v>
      </c>
      <c r="E93">
        <f>IF(ABS('600V Set-points'!$O9) &lt; _xlnm.Criteria,'600V Set-points'!$E9,0)</f>
        <v>0</v>
      </c>
      <c r="F93">
        <f>IF(ABS('600V Set-points'!$O9) &lt; _xlnm.Criteria,'600V Set-points'!$F9,0)</f>
        <v>0</v>
      </c>
      <c r="G93">
        <f>IF(ABS('600V Set-points'!$O9) &lt; _xlnm.Criteria,'600V Set-points'!$D9,0)</f>
        <v>0</v>
      </c>
      <c r="H93" s="55">
        <f>IF(ABS('600V Set-points'!$O9) &lt; _xlnm.Criteria,'600V Set-points'!$J9,0)</f>
        <v>0</v>
      </c>
      <c r="I93" s="55">
        <f>IF(ABS('600V Set-points'!$O9) &lt; _xlnm.Criteria,'600V Set-points'!$K9,0)</f>
        <v>0</v>
      </c>
      <c r="J93">
        <f>IF(ABS('600V Set-points'!$O9) &lt; _xlnm.Criteria,'600V Set-points'!$I9,0)</f>
        <v>0</v>
      </c>
    </row>
    <row r="94" spans="1:10" x14ac:dyDescent="0.25">
      <c r="A94">
        <f>IF(ABS('600V Set-points'!$O10) &lt; _xlnm.Criteria,'600V Set-points'!$A10,0)</f>
        <v>0</v>
      </c>
      <c r="B94" t="s">
        <v>186</v>
      </c>
      <c r="C94" s="12">
        <f>IF(ABS('600V Set-points'!$O10) &lt; _xlnm.Criteria,'600V Set-points'!$B10,0)</f>
        <v>0</v>
      </c>
      <c r="D94" s="12">
        <f>IF(ABS('600V Set-points'!$O10) &lt; _xlnm.Criteria,'600V Set-points'!$C10,0)</f>
        <v>0</v>
      </c>
      <c r="E94">
        <f>IF(ABS('600V Set-points'!$O10) &lt; _xlnm.Criteria,'600V Set-points'!$E10,0)</f>
        <v>0</v>
      </c>
      <c r="F94">
        <f>IF(ABS('600V Set-points'!$O10) &lt; _xlnm.Criteria,'600V Set-points'!$F10,0)</f>
        <v>0</v>
      </c>
      <c r="G94">
        <f>IF(ABS('600V Set-points'!$O10) &lt; _xlnm.Criteria,'600V Set-points'!$D10,0)</f>
        <v>0</v>
      </c>
      <c r="H94" s="55">
        <f>IF(ABS('600V Set-points'!$O10) &lt; _xlnm.Criteria,'600V Set-points'!$J10,0)</f>
        <v>0</v>
      </c>
      <c r="I94" s="55">
        <f>IF(ABS('600V Set-points'!$O10) &lt; _xlnm.Criteria,'600V Set-points'!$K10,0)</f>
        <v>0</v>
      </c>
      <c r="J94">
        <f>IF(ABS('600V Set-points'!$O10) &lt; _xlnm.Criteria,'600V Set-points'!$I10,0)</f>
        <v>0</v>
      </c>
    </row>
    <row r="95" spans="1:10" x14ac:dyDescent="0.25">
      <c r="A95" t="str">
        <f>IF(ABS('600V Set-points'!$O11) &lt; _xlnm.Criteria,'600V Set-points'!$A11,0)</f>
        <v>32 HET 4544W</v>
      </c>
      <c r="B95" t="s">
        <v>186</v>
      </c>
      <c r="C95" s="12">
        <f>IF(ABS('600V Set-points'!$O11) &lt; _xlnm.Criteria,'600V Set-points'!$B11,0)</f>
        <v>145.40800000000002</v>
      </c>
      <c r="D95" s="12">
        <f>IF(ABS('600V Set-points'!$O11) &lt; _xlnm.Criteria,'600V Set-points'!$C11,0)</f>
        <v>18.176000000000002</v>
      </c>
      <c r="E95">
        <f>IF(ABS('600V Set-points'!$O11) &lt; _xlnm.Criteria,'600V Set-points'!$E11,0)</f>
        <v>0.58399999999999996</v>
      </c>
      <c r="F95">
        <f>IF(ABS('600V Set-points'!$O11) &lt; _xlnm.Criteria,'600V Set-points'!$F11,0)</f>
        <v>2696</v>
      </c>
      <c r="G95">
        <f>IF(ABS('600V Set-points'!$O11) &lt; _xlnm.Criteria,'600V Set-points'!$D11,0)</f>
        <v>6.3360000000000003</v>
      </c>
      <c r="H95" s="55">
        <f>IF(ABS('600V Set-points'!$O11) &lt; _xlnm.Criteria,'600V Set-points'!$J11,0)</f>
        <v>10025.448861817928</v>
      </c>
      <c r="I95" s="55">
        <f>IF(ABS('600V Set-points'!$O11) &lt; _xlnm.Criteria,'600V Set-points'!$K11,0)</f>
        <v>4837.4771746236011</v>
      </c>
      <c r="J95">
        <f>IF(ABS('600V Set-points'!$O11) &lt; _xlnm.Criteria,'600V Set-points'!$I11,0)</f>
        <v>4000</v>
      </c>
    </row>
    <row r="96" spans="1:10" x14ac:dyDescent="0.25">
      <c r="A96">
        <f>IF(ABS('600V Set-points'!$O12) &lt; _xlnm.Criteria,'600V Set-points'!$A12,0)</f>
        <v>0</v>
      </c>
      <c r="B96" t="s">
        <v>186</v>
      </c>
      <c r="C96" s="12">
        <f>IF(ABS('600V Set-points'!$O12) &lt; _xlnm.Criteria,'600V Set-points'!$B12,0)</f>
        <v>0</v>
      </c>
      <c r="D96" s="12">
        <f>IF(ABS('600V Set-points'!$O12) &lt; _xlnm.Criteria,'600V Set-points'!$C12,0)</f>
        <v>0</v>
      </c>
      <c r="E96">
        <f>IF(ABS('600V Set-points'!$O12) &lt; _xlnm.Criteria,'600V Set-points'!$E12,0)</f>
        <v>0</v>
      </c>
      <c r="F96">
        <f>IF(ABS('600V Set-points'!$O12) &lt; _xlnm.Criteria,'600V Set-points'!$F12,0)</f>
        <v>0</v>
      </c>
      <c r="G96">
        <f>IF(ABS('600V Set-points'!$O12) &lt; _xlnm.Criteria,'600V Set-points'!$D12,0)</f>
        <v>0</v>
      </c>
      <c r="H96" s="55">
        <f>IF(ABS('600V Set-points'!$O12) &lt; _xlnm.Criteria,'600V Set-points'!$J12,0)</f>
        <v>0</v>
      </c>
      <c r="I96" s="55">
        <f>IF(ABS('600V Set-points'!$O12) &lt; _xlnm.Criteria,'600V Set-points'!$K12,0)</f>
        <v>0</v>
      </c>
      <c r="J96">
        <f>IF(ABS('600V Set-points'!$O12) &lt; _xlnm.Criteria,'600V Set-points'!$I12,0)</f>
        <v>0</v>
      </c>
    </row>
    <row r="97" spans="1:10" x14ac:dyDescent="0.25">
      <c r="A97">
        <f>IF(ABS('600V Set-points'!$O13) &lt; _xlnm.Criteria,'600V Set-points'!$A13,0)</f>
        <v>0</v>
      </c>
      <c r="B97" t="s">
        <v>186</v>
      </c>
      <c r="C97" s="12">
        <f>IF(ABS('600V Set-points'!$O13) &lt; _xlnm.Criteria,'600V Set-points'!$B13,0)</f>
        <v>0</v>
      </c>
      <c r="D97" s="12">
        <f>IF(ABS('600V Set-points'!$O13) &lt; _xlnm.Criteria,'600V Set-points'!$C13,0)</f>
        <v>0</v>
      </c>
      <c r="E97">
        <f>IF(ABS('600V Set-points'!$O13) &lt; _xlnm.Criteria,'600V Set-points'!$E13,0)</f>
        <v>0</v>
      </c>
      <c r="F97">
        <f>IF(ABS('600V Set-points'!$O13) &lt; _xlnm.Criteria,'600V Set-points'!$F13,0)</f>
        <v>0</v>
      </c>
      <c r="G97">
        <f>IF(ABS('600V Set-points'!$O13) &lt; _xlnm.Criteria,'600V Set-points'!$D13,0)</f>
        <v>0</v>
      </c>
      <c r="H97" s="55">
        <f>IF(ABS('600V Set-points'!$O13) &lt; _xlnm.Criteria,'600V Set-points'!$J13,0)</f>
        <v>0</v>
      </c>
      <c r="I97" s="55">
        <f>IF(ABS('600V Set-points'!$O13) &lt; _xlnm.Criteria,'600V Set-points'!$K13,0)</f>
        <v>0</v>
      </c>
      <c r="J97">
        <f>IF(ABS('600V Set-points'!$O13) &lt; _xlnm.Criteria,'600V Set-points'!$I13,0)</f>
        <v>0</v>
      </c>
    </row>
    <row r="98" spans="1:10" x14ac:dyDescent="0.25">
      <c r="A98" t="str">
        <f>IF(ABS('600V Set-points'!$O14) &lt; _xlnm.Criteria,'600V Set-points'!$A14,0)</f>
        <v>32 HET 6327W</v>
      </c>
      <c r="B98" t="s">
        <v>186</v>
      </c>
      <c r="C98" s="12">
        <f>IF(ABS('600V Set-points'!$O14) &lt; _xlnm.Criteria,'600V Set-points'!$B14,0)</f>
        <v>202.464</v>
      </c>
      <c r="D98" s="12">
        <f>IF(ABS('600V Set-points'!$O14) &lt; _xlnm.Criteria,'600V Set-points'!$C14,0)</f>
        <v>25.308</v>
      </c>
      <c r="E98">
        <f>IF(ABS('600V Set-points'!$O14) &lt; _xlnm.Criteria,'600V Set-points'!$E14,0)</f>
        <v>0.60599999999999998</v>
      </c>
      <c r="F98">
        <f>IF(ABS('600V Set-points'!$O14) &lt; _xlnm.Criteria,'600V Set-points'!$F14,0)</f>
        <v>2583</v>
      </c>
      <c r="G98">
        <f>IF(ABS('600V Set-points'!$O14) &lt; _xlnm.Criteria,'600V Set-points'!$D14,0)</f>
        <v>9.44</v>
      </c>
      <c r="H98" s="55">
        <f>IF(ABS('600V Set-points'!$O14) &lt; _xlnm.Criteria,'600V Set-points'!$J14,0)</f>
        <v>11091.132992170868</v>
      </c>
      <c r="I98" s="55">
        <f>IF(ABS('600V Set-points'!$O14) &lt; _xlnm.Criteria,'600V Set-points'!$K14,0)</f>
        <v>5519.3207443018791</v>
      </c>
      <c r="J98">
        <f>IF(ABS('600V Set-points'!$O14) &lt; _xlnm.Criteria,'600V Set-points'!$I14,0)</f>
        <v>4000</v>
      </c>
    </row>
    <row r="99" spans="1:10" x14ac:dyDescent="0.25">
      <c r="A99">
        <f>IF(ABS('600V Set-points'!$O15) &lt; _xlnm.Criteria,'600V Set-points'!$A15,0)</f>
        <v>0</v>
      </c>
      <c r="B99" t="s">
        <v>186</v>
      </c>
      <c r="C99" s="12">
        <f>IF(ABS('600V Set-points'!$O15) &lt; _xlnm.Criteria,'600V Set-points'!$B15,0)</f>
        <v>0</v>
      </c>
      <c r="D99" s="12">
        <f>IF(ABS('600V Set-points'!$O15) &lt; _xlnm.Criteria,'600V Set-points'!$C15,0)</f>
        <v>0</v>
      </c>
      <c r="E99">
        <f>IF(ABS('600V Set-points'!$O15) &lt; _xlnm.Criteria,'600V Set-points'!$E15,0)</f>
        <v>0</v>
      </c>
      <c r="F99">
        <f>IF(ABS('600V Set-points'!$O15) &lt; _xlnm.Criteria,'600V Set-points'!$F15,0)</f>
        <v>0</v>
      </c>
      <c r="G99">
        <f>IF(ABS('600V Set-points'!$O15) &lt; _xlnm.Criteria,'600V Set-points'!$D15,0)</f>
        <v>0</v>
      </c>
      <c r="H99" s="55">
        <f>IF(ABS('600V Set-points'!$O15) &lt; _xlnm.Criteria,'600V Set-points'!$J15,0)</f>
        <v>0</v>
      </c>
      <c r="I99" s="55">
        <f>IF(ABS('600V Set-points'!$O15) &lt; _xlnm.Criteria,'600V Set-points'!$K15,0)</f>
        <v>0</v>
      </c>
      <c r="J99">
        <f>IF(ABS('600V Set-points'!$O15) &lt; _xlnm.Criteria,'600V Set-points'!$I15,0)</f>
        <v>0</v>
      </c>
    </row>
    <row r="100" spans="1:10" x14ac:dyDescent="0.25">
      <c r="A100">
        <f>IF(ABS('600V Set-points'!$O16) &lt; _xlnm.Criteria,'600V Set-points'!$A16,0)</f>
        <v>0</v>
      </c>
      <c r="B100" t="s">
        <v>186</v>
      </c>
      <c r="C100" s="12">
        <f>IF(ABS('600V Set-points'!$O16) &lt; _xlnm.Criteria,'600V Set-points'!$B16,0)</f>
        <v>0</v>
      </c>
      <c r="D100" s="12">
        <f>IF(ABS('600V Set-points'!$O16) &lt; _xlnm.Criteria,'600V Set-points'!$C16,0)</f>
        <v>0</v>
      </c>
      <c r="E100">
        <f>IF(ABS('600V Set-points'!$O16) &lt; _xlnm.Criteria,'600V Set-points'!$E16,0)</f>
        <v>0</v>
      </c>
      <c r="F100">
        <f>IF(ABS('600V Set-points'!$O16) &lt; _xlnm.Criteria,'600V Set-points'!$F16,0)</f>
        <v>0</v>
      </c>
      <c r="G100">
        <f>IF(ABS('600V Set-points'!$O16) &lt; _xlnm.Criteria,'600V Set-points'!$D16,0)</f>
        <v>0</v>
      </c>
      <c r="H100" s="55">
        <f>IF(ABS('600V Set-points'!$O16) &lt; _xlnm.Criteria,'600V Set-points'!$J16,0)</f>
        <v>0</v>
      </c>
      <c r="I100" s="55">
        <f>IF(ABS('600V Set-points'!$O16) &lt; _xlnm.Criteria,'600V Set-points'!$K16,0)</f>
        <v>0</v>
      </c>
      <c r="J100">
        <f>IF(ABS('600V Set-points'!$O16) &lt; _xlnm.Criteria,'600V Set-points'!$I16,0)</f>
        <v>0</v>
      </c>
    </row>
    <row r="101" spans="1:10" x14ac:dyDescent="0.25">
      <c r="A101">
        <f>IF(ABS('600V Set-points'!$O17) &lt; _xlnm.Criteria,'600V Set-points'!$A17,0)</f>
        <v>0</v>
      </c>
      <c r="B101" t="s">
        <v>186</v>
      </c>
      <c r="C101" s="12">
        <f>IF(ABS('600V Set-points'!$O17) &lt; _xlnm.Criteria,'600V Set-points'!$B17,0)</f>
        <v>0</v>
      </c>
      <c r="D101" s="12">
        <f>IF(ABS('600V Set-points'!$O17) &lt; _xlnm.Criteria,'600V Set-points'!$C17,0)</f>
        <v>0</v>
      </c>
      <c r="E101">
        <f>IF(ABS('600V Set-points'!$O17) &lt; _xlnm.Criteria,'600V Set-points'!$E17,0)</f>
        <v>0</v>
      </c>
      <c r="F101">
        <f>IF(ABS('600V Set-points'!$O17) &lt; _xlnm.Criteria,'600V Set-points'!$F17,0)</f>
        <v>0</v>
      </c>
      <c r="G101">
        <f>IF(ABS('600V Set-points'!$O17) &lt; _xlnm.Criteria,'600V Set-points'!$D17,0)</f>
        <v>0</v>
      </c>
      <c r="H101" s="55">
        <f>IF(ABS('600V Set-points'!$O17) &lt; _xlnm.Criteria,'600V Set-points'!$J17,0)</f>
        <v>0</v>
      </c>
      <c r="I101" s="55">
        <f>IF(ABS('600V Set-points'!$O17) &lt; _xlnm.Criteria,'600V Set-points'!$K17,0)</f>
        <v>0</v>
      </c>
      <c r="J101">
        <f>IF(ABS('600V Set-points'!$O17) &lt; _xlnm.Criteria,'600V Set-points'!$I17,0)</f>
        <v>0</v>
      </c>
    </row>
    <row r="102" spans="1:10" x14ac:dyDescent="0.25">
      <c r="A102" t="str">
        <f>IF(ABS('600V Set-points'!$O18) &lt; _xlnm.Criteria,'600V Set-points'!$A18,0)</f>
        <v>32 HET 8058W</v>
      </c>
      <c r="B102" t="s">
        <v>186</v>
      </c>
      <c r="C102" s="12">
        <f>IF(ABS('600V Set-points'!$O18) &lt; _xlnm.Criteria,'600V Set-points'!$B18,0)</f>
        <v>257.85599999999999</v>
      </c>
      <c r="D102" s="12">
        <f>IF(ABS('600V Set-points'!$O18) &lt; _xlnm.Criteria,'600V Set-points'!$C18,0)</f>
        <v>32.231999999999999</v>
      </c>
      <c r="E102">
        <f>IF(ABS('600V Set-points'!$O18) &lt; _xlnm.Criteria,'600V Set-points'!$E18,0)</f>
        <v>0.60599999999999998</v>
      </c>
      <c r="F102">
        <f>IF(ABS('600V Set-points'!$O18) &lt; _xlnm.Criteria,'600V Set-points'!$F18,0)</f>
        <v>2637</v>
      </c>
      <c r="G102">
        <f>IF(ABS('600V Set-points'!$O18) &lt; _xlnm.Criteria,'600V Set-points'!$D18,0)</f>
        <v>12.064</v>
      </c>
      <c r="H102" s="55">
        <f>IF(ABS('600V Set-points'!$O18) &lt; _xlnm.Criteria,'600V Set-points'!$J18,0)</f>
        <v>16854.150659700281</v>
      </c>
      <c r="I102" s="55">
        <f>IF(ABS('600V Set-points'!$O18) &lt; _xlnm.Criteria,'600V Set-points'!$K18,0)</f>
        <v>8594.8395372051327</v>
      </c>
      <c r="J102">
        <f>IF(ABS('600V Set-points'!$O18) &lt; _xlnm.Criteria,'600V Set-points'!$I18,0)</f>
        <v>8000</v>
      </c>
    </row>
    <row r="103" spans="1:10" x14ac:dyDescent="0.25">
      <c r="A103">
        <f>IF(ABS('600V Set-points'!$O19) &lt; _xlnm.Criteria,'600V Set-points'!$A19,0)</f>
        <v>0</v>
      </c>
      <c r="B103" t="s">
        <v>186</v>
      </c>
      <c r="C103" s="12">
        <f>IF(ABS('600V Set-points'!$O19) &lt; _xlnm.Criteria,'600V Set-points'!$B19,0)</f>
        <v>0</v>
      </c>
      <c r="D103" s="12">
        <f>IF(ABS('600V Set-points'!$O19) &lt; _xlnm.Criteria,'600V Set-points'!$C19,0)</f>
        <v>0</v>
      </c>
      <c r="E103">
        <f>IF(ABS('600V Set-points'!$O19) &lt; _xlnm.Criteria,'600V Set-points'!$E19,0)</f>
        <v>0</v>
      </c>
      <c r="F103">
        <f>IF(ABS('600V Set-points'!$O19) &lt; _xlnm.Criteria,'600V Set-points'!$F19,0)</f>
        <v>0</v>
      </c>
      <c r="G103">
        <f>IF(ABS('600V Set-points'!$O19) &lt; _xlnm.Criteria,'600V Set-points'!$D19,0)</f>
        <v>0</v>
      </c>
      <c r="H103" s="55">
        <f>IF(ABS('600V Set-points'!$O19) &lt; _xlnm.Criteria,'600V Set-points'!$J19,0)</f>
        <v>0</v>
      </c>
      <c r="I103" s="55">
        <f>IF(ABS('600V Set-points'!$O19) &lt; _xlnm.Criteria,'600V Set-points'!$K19,0)</f>
        <v>0</v>
      </c>
      <c r="J103">
        <f>IF(ABS('600V Set-points'!$O19) &lt; _xlnm.Criteria,'600V Set-points'!$I19,0)</f>
        <v>0</v>
      </c>
    </row>
    <row r="104" spans="1:10" x14ac:dyDescent="0.25">
      <c r="A104">
        <f>IF(ABS('600V Set-points'!$O20) &lt; _xlnm.Criteria,'600V Set-points'!$A20,0)</f>
        <v>0</v>
      </c>
      <c r="B104" t="s">
        <v>186</v>
      </c>
      <c r="C104" s="12">
        <f>IF(ABS('600V Set-points'!$O20) &lt; _xlnm.Criteria,'600V Set-points'!$B20,0)</f>
        <v>0</v>
      </c>
      <c r="D104" s="12">
        <f>IF(ABS('600V Set-points'!$O20) &lt; _xlnm.Criteria,'600V Set-points'!$C20,0)</f>
        <v>0</v>
      </c>
      <c r="E104">
        <f>IF(ABS('600V Set-points'!$O20) &lt; _xlnm.Criteria,'600V Set-points'!$E20,0)</f>
        <v>0</v>
      </c>
      <c r="F104">
        <f>IF(ABS('600V Set-points'!$O20) &lt; _xlnm.Criteria,'600V Set-points'!$F20,0)</f>
        <v>0</v>
      </c>
      <c r="G104">
        <f>IF(ABS('600V Set-points'!$O20) &lt; _xlnm.Criteria,'600V Set-points'!$D20,0)</f>
        <v>0</v>
      </c>
      <c r="H104" s="55">
        <f>IF(ABS('600V Set-points'!$O20) &lt; _xlnm.Criteria,'600V Set-points'!$J20,0)</f>
        <v>0</v>
      </c>
      <c r="I104" s="55">
        <f>IF(ABS('600V Set-points'!$O20) &lt; _xlnm.Criteria,'600V Set-points'!$K20,0)</f>
        <v>0</v>
      </c>
      <c r="J104">
        <f>IF(ABS('600V Set-points'!$O20) &lt; _xlnm.Criteria,'600V Set-points'!$I20,0)</f>
        <v>0</v>
      </c>
    </row>
    <row r="105" spans="1:10" x14ac:dyDescent="0.25">
      <c r="A105">
        <f>IF(ABS('600V Set-points'!$O21) &lt; _xlnm.Criteria,'600V Set-points'!$A21,0)</f>
        <v>0</v>
      </c>
      <c r="B105" t="s">
        <v>186</v>
      </c>
      <c r="C105" s="12">
        <f>IF(ABS('600V Set-points'!$O21) &lt; _xlnm.Criteria,'600V Set-points'!$B21,0)</f>
        <v>0</v>
      </c>
      <c r="D105" s="12">
        <f>IF(ABS('600V Set-points'!$O21) &lt; _xlnm.Criteria,'600V Set-points'!$C21,0)</f>
        <v>0</v>
      </c>
      <c r="E105">
        <f>IF(ABS('600V Set-points'!$O21) &lt; _xlnm.Criteria,'600V Set-points'!$E21,0)</f>
        <v>0</v>
      </c>
      <c r="F105">
        <f>IF(ABS('600V Set-points'!$O21) &lt; _xlnm.Criteria,'600V Set-points'!$F21,0)</f>
        <v>0</v>
      </c>
      <c r="G105">
        <f>IF(ABS('600V Set-points'!$O21) &lt; _xlnm.Criteria,'600V Set-points'!$D21,0)</f>
        <v>0</v>
      </c>
      <c r="H105" s="55">
        <f>IF(ABS('600V Set-points'!$O21) &lt; _xlnm.Criteria,'600V Set-points'!$J21,0)</f>
        <v>0</v>
      </c>
      <c r="I105" s="55">
        <f>IF(ABS('600V Set-points'!$O21) &lt; _xlnm.Criteria,'600V Set-points'!$K21,0)</f>
        <v>0</v>
      </c>
      <c r="J105">
        <f>IF(ABS('600V Set-points'!$O21) &lt; _xlnm.Criteria,'600V Set-points'!$I21,0)</f>
        <v>0</v>
      </c>
    </row>
    <row r="106" spans="1:10" x14ac:dyDescent="0.25">
      <c r="A106">
        <f>IF(ABS('600V Set-points'!$O22) &lt; _xlnm.Criteria,'600V Set-points'!$A22,0)</f>
        <v>0</v>
      </c>
      <c r="B106" t="s">
        <v>186</v>
      </c>
      <c r="C106" s="12">
        <f>IF(ABS('600V Set-points'!$O22) &lt; _xlnm.Criteria,'600V Set-points'!$B22,0)</f>
        <v>0</v>
      </c>
      <c r="D106" s="12">
        <f>IF(ABS('600V Set-points'!$O22) &lt; _xlnm.Criteria,'600V Set-points'!$C22,0)</f>
        <v>0</v>
      </c>
      <c r="E106">
        <f>IF(ABS('600V Set-points'!$O22) &lt; _xlnm.Criteria,'600V Set-points'!$E22,0)</f>
        <v>0</v>
      </c>
      <c r="F106">
        <f>IF(ABS('600V Set-points'!$O22) &lt; _xlnm.Criteria,'600V Set-points'!$F22,0)</f>
        <v>0</v>
      </c>
      <c r="G106">
        <f>IF(ABS('600V Set-points'!$O22) &lt; _xlnm.Criteria,'600V Set-points'!$D22,0)</f>
        <v>0</v>
      </c>
      <c r="H106" s="55">
        <f>IF(ABS('600V Set-points'!$O22) &lt; _xlnm.Criteria,'600V Set-points'!$J22,0)</f>
        <v>0</v>
      </c>
      <c r="I106" s="55">
        <f>IF(ABS('600V Set-points'!$O22) &lt; _xlnm.Criteria,'600V Set-points'!$K22,0)</f>
        <v>0</v>
      </c>
      <c r="J106">
        <f>IF(ABS('600V Set-points'!$O22) &lt; _xlnm.Criteria,'600V Set-points'!$I22,0)</f>
        <v>0</v>
      </c>
    </row>
    <row r="107" spans="1:10" x14ac:dyDescent="0.25">
      <c r="A107">
        <f>IF(ABS('600V Set-points'!$O23) &lt; _xlnm.Criteria,'600V Set-points'!$A23,0)</f>
        <v>0</v>
      </c>
      <c r="B107" t="s">
        <v>186</v>
      </c>
      <c r="C107" s="12">
        <f>IF(ABS('600V Set-points'!$O23) &lt; _xlnm.Criteria,'600V Set-points'!$B23,0)</f>
        <v>0</v>
      </c>
      <c r="D107" s="12">
        <f>IF(ABS('600V Set-points'!$O23) &lt; _xlnm.Criteria,'600V Set-points'!$C23,0)</f>
        <v>0</v>
      </c>
      <c r="E107">
        <f>IF(ABS('600V Set-points'!$O23) &lt; _xlnm.Criteria,'600V Set-points'!$E23,0)</f>
        <v>0</v>
      </c>
      <c r="F107">
        <f>IF(ABS('600V Set-points'!$O23) &lt; _xlnm.Criteria,'600V Set-points'!$F23,0)</f>
        <v>0</v>
      </c>
      <c r="G107">
        <f>IF(ABS('600V Set-points'!$O23) &lt; _xlnm.Criteria,'600V Set-points'!$D23,0)</f>
        <v>0</v>
      </c>
      <c r="H107" s="55">
        <f>IF(ABS('600V Set-points'!$O23) &lt; _xlnm.Criteria,'600V Set-points'!$J23,0)</f>
        <v>0</v>
      </c>
      <c r="I107" s="55">
        <f>IF(ABS('600V Set-points'!$O23) &lt; _xlnm.Criteria,'600V Set-points'!$K23,0)</f>
        <v>0</v>
      </c>
      <c r="J107">
        <f>IF(ABS('600V Set-points'!$O23) &lt; _xlnm.Criteria,'600V Set-points'!$I23,0)</f>
        <v>0</v>
      </c>
    </row>
    <row r="108" spans="1:10" x14ac:dyDescent="0.25">
      <c r="A108" t="str">
        <f>IF(ABS('600V Set-points'!$O24) &lt; _xlnm.Criteria,'600V Set-points'!$A24,0)</f>
        <v>48 HET 6327W</v>
      </c>
      <c r="B108" t="s">
        <v>186</v>
      </c>
      <c r="C108" s="12">
        <f>IF(ABS('600V Set-points'!$O24) &lt; _xlnm.Criteria,'600V Set-points'!$B24,0)</f>
        <v>303.69600000000003</v>
      </c>
      <c r="D108" s="12">
        <f>IF(ABS('600V Set-points'!$O24) &lt; _xlnm.Criteria,'600V Set-points'!$C24,0)</f>
        <v>25.308</v>
      </c>
      <c r="E108">
        <f>IF(ABS('600V Set-points'!$O24) &lt; _xlnm.Criteria,'600V Set-points'!$E24,0)</f>
        <v>0.60599999999999998</v>
      </c>
      <c r="F108">
        <f>IF(ABS('600V Set-points'!$O24) &lt; _xlnm.Criteria,'600V Set-points'!$F24,0)</f>
        <v>2583</v>
      </c>
      <c r="G108">
        <f>IF(ABS('600V Set-points'!$O24) &lt; _xlnm.Criteria,'600V Set-points'!$D24,0)</f>
        <v>14.16</v>
      </c>
      <c r="H108" s="55">
        <f>IF(ABS('600V Set-points'!$O24) &lt; _xlnm.Criteria,'600V Set-points'!$J24,0)</f>
        <v>19283.746436596637</v>
      </c>
      <c r="I108" s="55">
        <f>IF(ABS('600V Set-points'!$O24) &lt; _xlnm.Criteria,'600V Set-points'!$K24,0)</f>
        <v>9816.603711033129</v>
      </c>
      <c r="J108">
        <f>IF(ABS('600V Set-points'!$O24) &lt; _xlnm.Criteria,'600V Set-points'!$I24,0)</f>
        <v>8000</v>
      </c>
    </row>
    <row r="109" spans="1:10" x14ac:dyDescent="0.25">
      <c r="A109" t="str">
        <f>IF(ABS('600V Set-points'!$O25) &lt; _xlnm.Criteria,'600V Set-points'!$A25,0)</f>
        <v>48 HET 6327W</v>
      </c>
      <c r="B109" t="s">
        <v>186</v>
      </c>
      <c r="C109" s="12">
        <f>IF(ABS('600V Set-points'!$O25) &lt; _xlnm.Criteria,'600V Set-points'!$B25,0)</f>
        <v>303.69600000000003</v>
      </c>
      <c r="D109" s="12">
        <f>IF(ABS('600V Set-points'!$O25) &lt; _xlnm.Criteria,'600V Set-points'!$C25,0)</f>
        <v>25.308</v>
      </c>
      <c r="E109">
        <f>IF(ABS('600V Set-points'!$O25) &lt; _xlnm.Criteria,'600V Set-points'!$E25,0)</f>
        <v>0.60599999999999998</v>
      </c>
      <c r="F109">
        <f>IF(ABS('600V Set-points'!$O25) &lt; _xlnm.Criteria,'600V Set-points'!$F25,0)</f>
        <v>2583</v>
      </c>
      <c r="G109">
        <f>IF(ABS('600V Set-points'!$O25) &lt; _xlnm.Criteria,'600V Set-points'!$D25,0)</f>
        <v>14.16</v>
      </c>
      <c r="H109" s="55">
        <f>IF(ABS('600V Set-points'!$O25) &lt; _xlnm.Criteria,'600V Set-points'!$J25,0)</f>
        <v>23283.746436596637</v>
      </c>
      <c r="I109" s="55">
        <f>IF(ABS('600V Set-points'!$O25) &lt; _xlnm.Criteria,'600V Set-points'!$K25,0)</f>
        <v>12346.249119541026</v>
      </c>
      <c r="J109">
        <f>IF(ABS('600V Set-points'!$O25) &lt; _xlnm.Criteria,'600V Set-points'!$I25,0)</f>
        <v>12000</v>
      </c>
    </row>
    <row r="110" spans="1:10" x14ac:dyDescent="0.25">
      <c r="A110">
        <f>IF(ABS('600V Set-points'!$O26) &lt; _xlnm.Criteria,'600V Set-points'!$A26,0)</f>
        <v>0</v>
      </c>
      <c r="B110" t="s">
        <v>186</v>
      </c>
      <c r="C110" s="12">
        <f>IF(ABS('600V Set-points'!$O26) &lt; _xlnm.Criteria,'600V Set-points'!$B26,0)</f>
        <v>0</v>
      </c>
      <c r="D110" s="12">
        <f>IF(ABS('600V Set-points'!$O26) &lt; _xlnm.Criteria,'600V Set-points'!$C26,0)</f>
        <v>0</v>
      </c>
      <c r="E110">
        <f>IF(ABS('600V Set-points'!$O26) &lt; _xlnm.Criteria,'600V Set-points'!$E26,0)</f>
        <v>0</v>
      </c>
      <c r="F110">
        <f>IF(ABS('600V Set-points'!$O26) &lt; _xlnm.Criteria,'600V Set-points'!$F26,0)</f>
        <v>0</v>
      </c>
      <c r="G110">
        <f>IF(ABS('600V Set-points'!$O26) &lt; _xlnm.Criteria,'600V Set-points'!$D26,0)</f>
        <v>0</v>
      </c>
      <c r="H110" s="55">
        <f>IF(ABS('600V Set-points'!$O26) &lt; _xlnm.Criteria,'600V Set-points'!$J26,0)</f>
        <v>0</v>
      </c>
      <c r="I110" s="55">
        <f>IF(ABS('600V Set-points'!$O26) &lt; _xlnm.Criteria,'600V Set-points'!$K26,0)</f>
        <v>0</v>
      </c>
      <c r="J110">
        <f>IF(ABS('600V Set-points'!$O26) &lt; _xlnm.Criteria,'600V Set-points'!$I26,0)</f>
        <v>0</v>
      </c>
    </row>
    <row r="111" spans="1:10" x14ac:dyDescent="0.25">
      <c r="A111">
        <f>IF(ABS('600V Set-points'!$O27) &lt; _xlnm.Criteria,'600V Set-points'!$A27,0)</f>
        <v>0</v>
      </c>
      <c r="B111" t="s">
        <v>186</v>
      </c>
      <c r="C111" s="12">
        <f>IF(ABS('600V Set-points'!$O27) &lt; _xlnm.Criteria,'600V Set-points'!$B27,0)</f>
        <v>0</v>
      </c>
      <c r="D111" s="12">
        <f>IF(ABS('600V Set-points'!$O27) &lt; _xlnm.Criteria,'600V Set-points'!$C27,0)</f>
        <v>0</v>
      </c>
      <c r="E111">
        <f>IF(ABS('600V Set-points'!$O27) &lt; _xlnm.Criteria,'600V Set-points'!$E27,0)</f>
        <v>0</v>
      </c>
      <c r="F111">
        <f>IF(ABS('600V Set-points'!$O27) &lt; _xlnm.Criteria,'600V Set-points'!$F27,0)</f>
        <v>0</v>
      </c>
      <c r="G111">
        <f>IF(ABS('600V Set-points'!$O27) &lt; _xlnm.Criteria,'600V Set-points'!$D27,0)</f>
        <v>0</v>
      </c>
      <c r="H111" s="55">
        <f>IF(ABS('600V Set-points'!$O27) &lt; _xlnm.Criteria,'600V Set-points'!$J27,0)</f>
        <v>0</v>
      </c>
      <c r="I111" s="55">
        <f>IF(ABS('600V Set-points'!$O27) &lt; _xlnm.Criteria,'600V Set-points'!$K27,0)</f>
        <v>0</v>
      </c>
      <c r="J111">
        <f>IF(ABS('600V Set-points'!$O27) &lt; _xlnm.Criteria,'600V Set-points'!$I27,0)</f>
        <v>0</v>
      </c>
    </row>
    <row r="112" spans="1:10" x14ac:dyDescent="0.25">
      <c r="A112">
        <f>IF(ABS('600V Set-points'!$O28) &lt; _xlnm.Criteria,'600V Set-points'!$A28,0)</f>
        <v>0</v>
      </c>
      <c r="B112" t="s">
        <v>186</v>
      </c>
      <c r="C112" s="12">
        <f>IF(ABS('600V Set-points'!$O28) &lt; _xlnm.Criteria,'600V Set-points'!$B28,0)</f>
        <v>0</v>
      </c>
      <c r="D112" s="12">
        <f>IF(ABS('600V Set-points'!$O28) &lt; _xlnm.Criteria,'600V Set-points'!$C28,0)</f>
        <v>0</v>
      </c>
      <c r="E112">
        <f>IF(ABS('600V Set-points'!$O28) &lt; _xlnm.Criteria,'600V Set-points'!$E28,0)</f>
        <v>0</v>
      </c>
      <c r="F112">
        <f>IF(ABS('600V Set-points'!$O28) &lt; _xlnm.Criteria,'600V Set-points'!$F28,0)</f>
        <v>0</v>
      </c>
      <c r="G112">
        <f>IF(ABS('600V Set-points'!$O28) &lt; _xlnm.Criteria,'600V Set-points'!$D28,0)</f>
        <v>0</v>
      </c>
      <c r="H112" s="55">
        <f>IF(ABS('600V Set-points'!$O28) &lt; _xlnm.Criteria,'600V Set-points'!$J28,0)</f>
        <v>0</v>
      </c>
      <c r="I112" s="55">
        <f>IF(ABS('600V Set-points'!$O28) &lt; _xlnm.Criteria,'600V Set-points'!$K28,0)</f>
        <v>0</v>
      </c>
      <c r="J112">
        <f>IF(ABS('600V Set-points'!$O28) &lt; _xlnm.Criteria,'600V Set-points'!$I28,0)</f>
        <v>0</v>
      </c>
    </row>
    <row r="113" spans="1:10" x14ac:dyDescent="0.25">
      <c r="A113" t="str">
        <f>IF(ABS('600V Set-points'!$O29) &lt; _xlnm.Criteria,'600V Set-points'!$A29,0)</f>
        <v>48 HET 8058W</v>
      </c>
      <c r="B113" t="s">
        <v>186</v>
      </c>
      <c r="C113" s="12">
        <f>IF(ABS('600V Set-points'!$O29) &lt; _xlnm.Criteria,'600V Set-points'!$B29,0)</f>
        <v>386.78399999999999</v>
      </c>
      <c r="D113" s="12">
        <f>IF(ABS('600V Set-points'!$O29) &lt; _xlnm.Criteria,'600V Set-points'!$C29,0)</f>
        <v>32.231999999999999</v>
      </c>
      <c r="E113">
        <f>IF(ABS('600V Set-points'!$O29) &lt; _xlnm.Criteria,'600V Set-points'!$E29,0)</f>
        <v>0.60599999999999998</v>
      </c>
      <c r="F113">
        <f>IF(ABS('600V Set-points'!$O29) &lt; _xlnm.Criteria,'600V Set-points'!$F29,0)</f>
        <v>2637</v>
      </c>
      <c r="G113">
        <f>IF(ABS('600V Set-points'!$O29) &lt; _xlnm.Criteria,'600V Set-points'!$D29,0)</f>
        <v>18.096</v>
      </c>
      <c r="H113" s="55">
        <f>IF(ABS('600V Set-points'!$O29) &lt; _xlnm.Criteria,'600V Set-points'!$J29,0)</f>
        <v>26347.729583890756</v>
      </c>
      <c r="I113" s="55">
        <f>IF(ABS('600V Set-points'!$O29) &lt; _xlnm.Criteria,'600V Set-points'!$K29,0)</f>
        <v>13331.808602673642</v>
      </c>
      <c r="J113">
        <f>IF(ABS('600V Set-points'!$O29) &lt; _xlnm.Criteria,'600V Set-points'!$I29,0)</f>
        <v>12000</v>
      </c>
    </row>
    <row r="114" spans="1:10" x14ac:dyDescent="0.25">
      <c r="A114" t="str">
        <f>IF(ABS('600V Set-points'!$O30) &lt; _xlnm.Criteria,'600V Set-points'!$A30,0)</f>
        <v>48 HET 8058W</v>
      </c>
      <c r="B114" t="s">
        <v>186</v>
      </c>
      <c r="C114" s="12">
        <f>IF(ABS('600V Set-points'!$O30) &lt; _xlnm.Criteria,'600V Set-points'!$B30,0)</f>
        <v>386.78399999999999</v>
      </c>
      <c r="D114" s="12">
        <f>IF(ABS('600V Set-points'!$O30) &lt; _xlnm.Criteria,'600V Set-points'!$C30,0)</f>
        <v>32.231999999999999</v>
      </c>
      <c r="E114">
        <f>IF(ABS('600V Set-points'!$O30) &lt; _xlnm.Criteria,'600V Set-points'!$E30,0)</f>
        <v>0.60599999999999998</v>
      </c>
      <c r="F114">
        <f>IF(ABS('600V Set-points'!$O30) &lt; _xlnm.Criteria,'600V Set-points'!$F30,0)</f>
        <v>2637</v>
      </c>
      <c r="G114">
        <f>IF(ABS('600V Set-points'!$O30) &lt; _xlnm.Criteria,'600V Set-points'!$D30,0)</f>
        <v>18.096</v>
      </c>
      <c r="H114" s="55">
        <f>IF(ABS('600V Set-points'!$O30) &lt; _xlnm.Criteria,'600V Set-points'!$J30,0)</f>
        <v>30347.729583890756</v>
      </c>
      <c r="I114" s="55">
        <f>IF(ABS('600V Set-points'!$O30) &lt; _xlnm.Criteria,'600V Set-points'!$K30,0)</f>
        <v>15804.651446515069</v>
      </c>
      <c r="J114">
        <f>IF(ABS('600V Set-points'!$O30) &lt; _xlnm.Criteria,'600V Set-points'!$I30,0)</f>
        <v>16000</v>
      </c>
    </row>
    <row r="115" spans="1:10" x14ac:dyDescent="0.25">
      <c r="A115">
        <f>IF(ABS('600V Set-points'!$O31) &lt; _xlnm.Criteria,'600V Set-points'!$A31,0)</f>
        <v>0</v>
      </c>
      <c r="B115" t="s">
        <v>186</v>
      </c>
      <c r="C115" s="12">
        <f>IF(ABS('600V Set-points'!$O31) &lt; _xlnm.Criteria,'600V Set-points'!$B31,0)</f>
        <v>0</v>
      </c>
      <c r="D115" s="12">
        <f>IF(ABS('600V Set-points'!$O31) &lt; _xlnm.Criteria,'600V Set-points'!$C31,0)</f>
        <v>0</v>
      </c>
      <c r="E115">
        <f>IF(ABS('600V Set-points'!$O31) &lt; _xlnm.Criteria,'600V Set-points'!$E31,0)</f>
        <v>0</v>
      </c>
      <c r="F115">
        <f>IF(ABS('600V Set-points'!$O31) &lt; _xlnm.Criteria,'600V Set-points'!$F31,0)</f>
        <v>0</v>
      </c>
      <c r="G115">
        <f>IF(ABS('600V Set-points'!$O31) &lt; _xlnm.Criteria,'600V Set-points'!$D31,0)</f>
        <v>0</v>
      </c>
      <c r="H115" s="55">
        <f>IF(ABS('600V Set-points'!$O31) &lt; _xlnm.Criteria,'600V Set-points'!$J31,0)</f>
        <v>0</v>
      </c>
      <c r="I115" s="55">
        <f>IF(ABS('600V Set-points'!$O31) &lt; _xlnm.Criteria,'600V Set-points'!$K31,0)</f>
        <v>0</v>
      </c>
      <c r="J115">
        <f>IF(ABS('600V Set-points'!$O31) &lt; _xlnm.Criteria,'600V Set-points'!$I31,0)</f>
        <v>0</v>
      </c>
    </row>
    <row r="116" spans="1:10" x14ac:dyDescent="0.25">
      <c r="A116" t="str">
        <f>IF(ABS('600V Set-points'!$O32) &lt; _xlnm.Criteria,'600V Set-points'!$A32,0)</f>
        <v>64 HET 4544W</v>
      </c>
      <c r="B116" t="s">
        <v>186</v>
      </c>
      <c r="C116" s="12">
        <f>IF(ABS('600V Set-points'!$O32) &lt; _xlnm.Criteria,'600V Set-points'!$B32,0)</f>
        <v>290.81600000000003</v>
      </c>
      <c r="D116" s="12">
        <f>IF(ABS('600V Set-points'!$O32) &lt; _xlnm.Criteria,'600V Set-points'!$C32,0)</f>
        <v>18.176000000000002</v>
      </c>
      <c r="E116">
        <f>IF(ABS('600V Set-points'!$O32) &lt; _xlnm.Criteria,'600V Set-points'!$E32,0)</f>
        <v>0.58399999999999996</v>
      </c>
      <c r="F116">
        <f>IF(ABS('600V Set-points'!$O32) &lt; _xlnm.Criteria,'600V Set-points'!$F32,0)</f>
        <v>2696</v>
      </c>
      <c r="G116">
        <f>IF(ABS('600V Set-points'!$O32) &lt; _xlnm.Criteria,'600V Set-points'!$D32,0)</f>
        <v>12.672000000000001</v>
      </c>
      <c r="H116" s="55">
        <f>IF(ABS('600V Set-points'!$O32) &lt; _xlnm.Criteria,'600V Set-points'!$J32,0)</f>
        <v>24321.675736316527</v>
      </c>
      <c r="I116" s="55">
        <f>IF(ABS('600V Set-points'!$O32) &lt; _xlnm.Criteria,'600V Set-points'!$K32,0)</f>
        <v>12197.500147915085</v>
      </c>
      <c r="J116">
        <f>IF(ABS('600V Set-points'!$O32) &lt; _xlnm.Criteria,'600V Set-points'!$I32,0)</f>
        <v>12000</v>
      </c>
    </row>
    <row r="117" spans="1:10" x14ac:dyDescent="0.25">
      <c r="A117">
        <f>IF(ABS('600V Set-points'!$O33) &lt; _xlnm.Criteria,'600V Set-points'!$A33,0)</f>
        <v>0</v>
      </c>
      <c r="B117" t="s">
        <v>186</v>
      </c>
      <c r="C117" s="12">
        <f>IF(ABS('600V Set-points'!$O33) &lt; _xlnm.Criteria,'600V Set-points'!$B33,0)</f>
        <v>0</v>
      </c>
      <c r="D117" s="12">
        <f>IF(ABS('600V Set-points'!$O33) &lt; _xlnm.Criteria,'600V Set-points'!$C33,0)</f>
        <v>0</v>
      </c>
      <c r="E117">
        <f>IF(ABS('600V Set-points'!$O33) &lt; _xlnm.Criteria,'600V Set-points'!$E33,0)</f>
        <v>0</v>
      </c>
      <c r="F117">
        <f>IF(ABS('600V Set-points'!$O33) &lt; _xlnm.Criteria,'600V Set-points'!$F33,0)</f>
        <v>0</v>
      </c>
      <c r="G117">
        <f>IF(ABS('600V Set-points'!$O33) &lt; _xlnm.Criteria,'600V Set-points'!$D33,0)</f>
        <v>0</v>
      </c>
      <c r="H117" s="55">
        <f>IF(ABS('600V Set-points'!$O33) &lt; _xlnm.Criteria,'600V Set-points'!$J33,0)</f>
        <v>0</v>
      </c>
      <c r="I117" s="55">
        <f>IF(ABS('600V Set-points'!$O33) &lt; _xlnm.Criteria,'600V Set-points'!$K33,0)</f>
        <v>0</v>
      </c>
      <c r="J117">
        <f>IF(ABS('600V Set-points'!$O33) &lt; _xlnm.Criteria,'600V Set-points'!$I33,0)</f>
        <v>0</v>
      </c>
    </row>
    <row r="118" spans="1:10" x14ac:dyDescent="0.25">
      <c r="A118">
        <f>IF(ABS('600V Set-points'!$O34) &lt; _xlnm.Criteria,'600V Set-points'!$A34,0)</f>
        <v>0</v>
      </c>
      <c r="B118" t="s">
        <v>186</v>
      </c>
      <c r="C118" s="12">
        <f>IF(ABS('600V Set-points'!$O34) &lt; _xlnm.Criteria,'600V Set-points'!$B34,0)</f>
        <v>0</v>
      </c>
      <c r="D118" s="12">
        <f>IF(ABS('600V Set-points'!$O34) &lt; _xlnm.Criteria,'600V Set-points'!$C34,0)</f>
        <v>0</v>
      </c>
      <c r="E118">
        <f>IF(ABS('600V Set-points'!$O34) &lt; _xlnm.Criteria,'600V Set-points'!$E34,0)</f>
        <v>0</v>
      </c>
      <c r="F118">
        <f>IF(ABS('600V Set-points'!$O34) &lt; _xlnm.Criteria,'600V Set-points'!$F34,0)</f>
        <v>0</v>
      </c>
      <c r="G118">
        <f>IF(ABS('600V Set-points'!$O34) &lt; _xlnm.Criteria,'600V Set-points'!$D34,0)</f>
        <v>0</v>
      </c>
      <c r="H118" s="55">
        <f>IF(ABS('600V Set-points'!$O34) &lt; _xlnm.Criteria,'600V Set-points'!$J34,0)</f>
        <v>0</v>
      </c>
      <c r="I118" s="55">
        <f>IF(ABS('600V Set-points'!$O34) &lt; _xlnm.Criteria,'600V Set-points'!$K34,0)</f>
        <v>0</v>
      </c>
      <c r="J118">
        <f>IF(ABS('600V Set-points'!$O34) &lt; _xlnm.Criteria,'600V Set-points'!$I34,0)</f>
        <v>0</v>
      </c>
    </row>
    <row r="119" spans="1:10" x14ac:dyDescent="0.25">
      <c r="A119">
        <f>IF(ABS('600V Set-points'!$O35) &lt; _xlnm.Criteria,'600V Set-points'!$A35,0)</f>
        <v>0</v>
      </c>
      <c r="B119" t="s">
        <v>186</v>
      </c>
      <c r="C119" s="12">
        <f>IF(ABS('600V Set-points'!$O35) &lt; _xlnm.Criteria,'600V Set-points'!$B35,0)</f>
        <v>0</v>
      </c>
      <c r="D119" s="12">
        <f>IF(ABS('600V Set-points'!$O35) &lt; _xlnm.Criteria,'600V Set-points'!$C35,0)</f>
        <v>0</v>
      </c>
      <c r="E119">
        <f>IF(ABS('600V Set-points'!$O35) &lt; _xlnm.Criteria,'600V Set-points'!$E35,0)</f>
        <v>0</v>
      </c>
      <c r="F119">
        <f>IF(ABS('600V Set-points'!$O35) &lt; _xlnm.Criteria,'600V Set-points'!$F35,0)</f>
        <v>0</v>
      </c>
      <c r="G119">
        <f>IF(ABS('600V Set-points'!$O35) &lt; _xlnm.Criteria,'600V Set-points'!$D35,0)</f>
        <v>0</v>
      </c>
      <c r="H119" s="55">
        <f>IF(ABS('600V Set-points'!$O35) &lt; _xlnm.Criteria,'600V Set-points'!$J35,0)</f>
        <v>0</v>
      </c>
      <c r="I119" s="55">
        <f>IF(ABS('600V Set-points'!$O35) &lt; _xlnm.Criteria,'600V Set-points'!$K35,0)</f>
        <v>0</v>
      </c>
      <c r="J119">
        <f>IF(ABS('600V Set-points'!$O35) &lt; _xlnm.Criteria,'600V Set-points'!$I35,0)</f>
        <v>0</v>
      </c>
    </row>
    <row r="120" spans="1:10" x14ac:dyDescent="0.25">
      <c r="A120" t="str">
        <f>IF(ABS('600V Set-points'!$O36) &lt; _xlnm.Criteria,'600V Set-points'!$A36,0)</f>
        <v>64 HET 6327W</v>
      </c>
      <c r="B120" t="s">
        <v>186</v>
      </c>
      <c r="C120" s="12">
        <f>IF(ABS('600V Set-points'!$O36) &lt; _xlnm.Criteria,'600V Set-points'!$B36,0)</f>
        <v>404.928</v>
      </c>
      <c r="D120" s="12">
        <f>IF(ABS('600V Set-points'!$O36) &lt; _xlnm.Criteria,'600V Set-points'!$C36,0)</f>
        <v>25.308</v>
      </c>
      <c r="E120">
        <f>IF(ABS('600V Set-points'!$O36) &lt; _xlnm.Criteria,'600V Set-points'!$E36,0)</f>
        <v>0.60599999999999998</v>
      </c>
      <c r="F120">
        <f>IF(ABS('600V Set-points'!$O36) &lt; _xlnm.Criteria,'600V Set-points'!$F36,0)</f>
        <v>2583</v>
      </c>
      <c r="G120">
        <f>IF(ABS('600V Set-points'!$O36) &lt; _xlnm.Criteria,'600V Set-points'!$D36,0)</f>
        <v>18.88</v>
      </c>
      <c r="H120" s="55">
        <f>IF(ABS('600V Set-points'!$O36) &lt; _xlnm.Criteria,'600V Set-points'!$J36,0)</f>
        <v>24409.915736316529</v>
      </c>
      <c r="I120" s="55">
        <f>IF(ABS('600V Set-points'!$O36) &lt; _xlnm.Criteria,'600V Set-points'!$K36,0)</f>
        <v>12821.050619247522</v>
      </c>
      <c r="J120">
        <f>IF(ABS('600V Set-points'!$O36) &lt; _xlnm.Criteria,'600V Set-points'!$I36,0)</f>
        <v>12000</v>
      </c>
    </row>
    <row r="121" spans="1:10" x14ac:dyDescent="0.25">
      <c r="A121" t="str">
        <f>IF(ABS('600V Set-points'!$O37) &lt; _xlnm.Criteria,'600V Set-points'!$A37,0)</f>
        <v>64 HET 6327W</v>
      </c>
      <c r="B121" t="s">
        <v>186</v>
      </c>
      <c r="C121" s="12">
        <f>IF(ABS('600V Set-points'!$O37) &lt; _xlnm.Criteria,'600V Set-points'!$B37,0)</f>
        <v>404.928</v>
      </c>
      <c r="D121" s="12">
        <f>IF(ABS('600V Set-points'!$O37) &lt; _xlnm.Criteria,'600V Set-points'!$C37,0)</f>
        <v>25.308</v>
      </c>
      <c r="E121">
        <f>IF(ABS('600V Set-points'!$O37) &lt; _xlnm.Criteria,'600V Set-points'!$E37,0)</f>
        <v>0.60599999999999998</v>
      </c>
      <c r="F121">
        <f>IF(ABS('600V Set-points'!$O37) &lt; _xlnm.Criteria,'600V Set-points'!$F37,0)</f>
        <v>2583</v>
      </c>
      <c r="G121">
        <f>IF(ABS('600V Set-points'!$O37) &lt; _xlnm.Criteria,'600V Set-points'!$D37,0)</f>
        <v>18.88</v>
      </c>
      <c r="H121" s="55">
        <f>IF(ABS('600V Set-points'!$O37) &lt; _xlnm.Criteria,'600V Set-points'!$J37,0)</f>
        <v>32261.83744102241</v>
      </c>
      <c r="I121" s="55">
        <f>IF(ABS('600V Set-points'!$O37) &lt; _xlnm.Criteria,'600V Set-points'!$K37,0)</f>
        <v>16974.695370128939</v>
      </c>
      <c r="J121">
        <f>IF(ABS('600V Set-points'!$O37) &lt; _xlnm.Criteria,'600V Set-points'!$I37,0)</f>
        <v>16000</v>
      </c>
    </row>
    <row r="122" spans="1:10" x14ac:dyDescent="0.25">
      <c r="A122">
        <f>IF(ABS('600V Set-points'!$O38) &lt; _xlnm.Criteria,'600V Set-points'!$A38,0)</f>
        <v>0</v>
      </c>
      <c r="B122" t="s">
        <v>186</v>
      </c>
      <c r="C122" s="12">
        <f>IF(ABS('600V Set-points'!$O38) &lt; _xlnm.Criteria,'600V Set-points'!$B38,0)</f>
        <v>0</v>
      </c>
      <c r="D122" s="12">
        <f>IF(ABS('600V Set-points'!$O38) &lt; _xlnm.Criteria,'600V Set-points'!$C38,0)</f>
        <v>0</v>
      </c>
      <c r="E122">
        <f>IF(ABS('600V Set-points'!$O38) &lt; _xlnm.Criteria,'600V Set-points'!$E38,0)</f>
        <v>0</v>
      </c>
      <c r="F122">
        <f>IF(ABS('600V Set-points'!$O38) &lt; _xlnm.Criteria,'600V Set-points'!$F38,0)</f>
        <v>0</v>
      </c>
      <c r="G122">
        <f>IF(ABS('600V Set-points'!$O38) &lt; _xlnm.Criteria,'600V Set-points'!$D38,0)</f>
        <v>0</v>
      </c>
      <c r="H122" s="55">
        <f>IF(ABS('600V Set-points'!$O38) &lt; _xlnm.Criteria,'600V Set-points'!$J38,0)</f>
        <v>0</v>
      </c>
      <c r="I122" s="55">
        <f>IF(ABS('600V Set-points'!$O38) &lt; _xlnm.Criteria,'600V Set-points'!$K38,0)</f>
        <v>0</v>
      </c>
      <c r="J122">
        <f>IF(ABS('600V Set-points'!$O38) &lt; _xlnm.Criteria,'600V Set-points'!$I38,0)</f>
        <v>0</v>
      </c>
    </row>
    <row r="123" spans="1:10" x14ac:dyDescent="0.25">
      <c r="A123">
        <f>IF(ABS('600V Set-points'!$O39) &lt; _xlnm.Criteria,'600V Set-points'!$A39,0)</f>
        <v>0</v>
      </c>
      <c r="B123" t="s">
        <v>186</v>
      </c>
      <c r="C123" s="12">
        <f>IF(ABS('600V Set-points'!$O39) &lt; _xlnm.Criteria,'600V Set-points'!$B39,0)</f>
        <v>0</v>
      </c>
      <c r="D123" s="12">
        <f>IF(ABS('600V Set-points'!$O39) &lt; _xlnm.Criteria,'600V Set-points'!$C39,0)</f>
        <v>0</v>
      </c>
      <c r="E123">
        <f>IF(ABS('600V Set-points'!$O39) &lt; _xlnm.Criteria,'600V Set-points'!$E39,0)</f>
        <v>0</v>
      </c>
      <c r="F123">
        <f>IF(ABS('600V Set-points'!$O39) &lt; _xlnm.Criteria,'600V Set-points'!$F39,0)</f>
        <v>0</v>
      </c>
      <c r="G123">
        <f>IF(ABS('600V Set-points'!$O39) &lt; _xlnm.Criteria,'600V Set-points'!$D39,0)</f>
        <v>0</v>
      </c>
      <c r="H123" s="55">
        <f>IF(ABS('600V Set-points'!$O39) &lt; _xlnm.Criteria,'600V Set-points'!$J39,0)</f>
        <v>0</v>
      </c>
      <c r="I123" s="55">
        <f>IF(ABS('600V Set-points'!$O39) &lt; _xlnm.Criteria,'600V Set-points'!$K39,0)</f>
        <v>0</v>
      </c>
      <c r="J123">
        <f>IF(ABS('600V Set-points'!$O39) &lt; _xlnm.Criteria,'600V Set-points'!$I39,0)</f>
        <v>0</v>
      </c>
    </row>
    <row r="124" spans="1:10" x14ac:dyDescent="0.25">
      <c r="A124">
        <f>IF(ABS('600V Set-points'!$O40) &lt; _xlnm.Criteria,'600V Set-points'!$A40,0)</f>
        <v>0</v>
      </c>
      <c r="B124" t="s">
        <v>186</v>
      </c>
      <c r="C124" s="12">
        <f>IF(ABS('600V Set-points'!$O40) &lt; _xlnm.Criteria,'600V Set-points'!$B40,0)</f>
        <v>0</v>
      </c>
      <c r="D124" s="12">
        <f>IF(ABS('600V Set-points'!$O40) &lt; _xlnm.Criteria,'600V Set-points'!$C40,0)</f>
        <v>0</v>
      </c>
      <c r="E124">
        <f>IF(ABS('600V Set-points'!$O40) &lt; _xlnm.Criteria,'600V Set-points'!$E40,0)</f>
        <v>0</v>
      </c>
      <c r="F124">
        <f>IF(ABS('600V Set-points'!$O40) &lt; _xlnm.Criteria,'600V Set-points'!$F40,0)</f>
        <v>0</v>
      </c>
      <c r="G124">
        <f>IF(ABS('600V Set-points'!$O40) &lt; _xlnm.Criteria,'600V Set-points'!$D40,0)</f>
        <v>0</v>
      </c>
      <c r="H124" s="55">
        <f>IF(ABS('600V Set-points'!$O40) &lt; _xlnm.Criteria,'600V Set-points'!$J40,0)</f>
        <v>0</v>
      </c>
      <c r="I124" s="55">
        <f>IF(ABS('600V Set-points'!$O40) &lt; _xlnm.Criteria,'600V Set-points'!$K40,0)</f>
        <v>0</v>
      </c>
      <c r="J124">
        <f>IF(ABS('600V Set-points'!$O40) &lt; _xlnm.Criteria,'600V Set-points'!$I40,0)</f>
        <v>0</v>
      </c>
    </row>
    <row r="125" spans="1:10" x14ac:dyDescent="0.25">
      <c r="A125">
        <f>IF(ABS('600V Set-points'!$O41) &lt; _xlnm.Criteria,'600V Set-points'!$A41,0)</f>
        <v>0</v>
      </c>
      <c r="B125" t="s">
        <v>186</v>
      </c>
      <c r="C125" s="12">
        <f>IF(ABS('600V Set-points'!$O41) &lt; _xlnm.Criteria,'600V Set-points'!$B41,0)</f>
        <v>0</v>
      </c>
      <c r="D125" s="12">
        <f>IF(ABS('600V Set-points'!$O41) &lt; _xlnm.Criteria,'600V Set-points'!$C41,0)</f>
        <v>0</v>
      </c>
      <c r="E125">
        <f>IF(ABS('600V Set-points'!$O41) &lt; _xlnm.Criteria,'600V Set-points'!$E41,0)</f>
        <v>0</v>
      </c>
      <c r="F125">
        <f>IF(ABS('600V Set-points'!$O41) &lt; _xlnm.Criteria,'600V Set-points'!$F41,0)</f>
        <v>0</v>
      </c>
      <c r="G125">
        <f>IF(ABS('600V Set-points'!$O41) &lt; _xlnm.Criteria,'600V Set-points'!$D41,0)</f>
        <v>0</v>
      </c>
      <c r="H125" s="55">
        <f>IF(ABS('600V Set-points'!$O41) &lt; _xlnm.Criteria,'600V Set-points'!$J41,0)</f>
        <v>0</v>
      </c>
      <c r="I125" s="55">
        <f>IF(ABS('600V Set-points'!$O41) &lt; _xlnm.Criteria,'600V Set-points'!$K41,0)</f>
        <v>0</v>
      </c>
      <c r="J125">
        <f>IF(ABS('600V Set-points'!$O41) &lt; _xlnm.Criteria,'600V Set-points'!$I41,0)</f>
        <v>0</v>
      </c>
    </row>
    <row r="126" spans="1:10" x14ac:dyDescent="0.25">
      <c r="A126" t="str">
        <f>IF(ABS('600V Set-points'!$O42) &lt; _xlnm.Criteria,'600V Set-points'!$A42,0)</f>
        <v>64 HET 8058W</v>
      </c>
      <c r="B126" t="s">
        <v>186</v>
      </c>
      <c r="C126" s="12">
        <f>IF(ABS('600V Set-points'!$O42) &lt; _xlnm.Criteria,'600V Set-points'!$B42,0)</f>
        <v>515.71199999999999</v>
      </c>
      <c r="D126" s="12">
        <f>IF(ABS('600V Set-points'!$O42) &lt; _xlnm.Criteria,'600V Set-points'!$C42,0)</f>
        <v>32.231999999999999</v>
      </c>
      <c r="E126">
        <f>IF(ABS('600V Set-points'!$O42) &lt; _xlnm.Criteria,'600V Set-points'!$E42,0)</f>
        <v>0.60599999999999998</v>
      </c>
      <c r="F126">
        <f>IF(ABS('600V Set-points'!$O42) &lt; _xlnm.Criteria,'600V Set-points'!$F42,0)</f>
        <v>2637</v>
      </c>
      <c r="G126">
        <f>IF(ABS('600V Set-points'!$O42) &lt; _xlnm.Criteria,'600V Set-points'!$D42,0)</f>
        <v>24.128</v>
      </c>
      <c r="H126" s="55">
        <f>IF(ABS('600V Set-points'!$O42) &lt; _xlnm.Criteria,'600V Set-points'!$J42,0)</f>
        <v>45017.147128081233</v>
      </c>
      <c r="I126" s="55">
        <f>IF(ABS('600V Set-points'!$O42) &lt; _xlnm.Criteria,'600V Set-points'!$K42,0)</f>
        <v>23499.074041988231</v>
      </c>
      <c r="J126">
        <f>IF(ABS('600V Set-points'!$O42) &lt; _xlnm.Criteria,'600V Set-points'!$I42,0)</f>
        <v>24000</v>
      </c>
    </row>
    <row r="127" spans="1:10" x14ac:dyDescent="0.25">
      <c r="A127">
        <f>IF(ABS('600V Set-points'!$O43) &lt; _xlnm.Criteria,'600V Set-points'!$A43,0)</f>
        <v>0</v>
      </c>
      <c r="B127" t="s">
        <v>186</v>
      </c>
      <c r="C127" s="12">
        <f>IF(ABS('600V Set-points'!$O43) &lt; _xlnm.Criteria,'600V Set-points'!$B43,0)</f>
        <v>0</v>
      </c>
      <c r="D127" s="12">
        <f>IF(ABS('600V Set-points'!$O43) &lt; _xlnm.Criteria,'600V Set-points'!$C43,0)</f>
        <v>0</v>
      </c>
      <c r="E127">
        <f>IF(ABS('600V Set-points'!$O43) &lt; _xlnm.Criteria,'600V Set-points'!$E43,0)</f>
        <v>0</v>
      </c>
      <c r="F127">
        <f>IF(ABS('600V Set-points'!$O43) &lt; _xlnm.Criteria,'600V Set-points'!$F43,0)</f>
        <v>0</v>
      </c>
      <c r="G127">
        <f>IF(ABS('600V Set-points'!$O43) &lt; _xlnm.Criteria,'600V Set-points'!$D43,0)</f>
        <v>0</v>
      </c>
      <c r="H127" s="55">
        <f>IF(ABS('600V Set-points'!$O43) &lt; _xlnm.Criteria,'600V Set-points'!$J43,0)</f>
        <v>0</v>
      </c>
      <c r="I127" s="55">
        <f>IF(ABS('600V Set-points'!$O43) &lt; _xlnm.Criteria,'600V Set-points'!$K43,0)</f>
        <v>0</v>
      </c>
      <c r="J127">
        <f>IF(ABS('600V Set-points'!$O43) &lt; _xlnm.Criteria,'600V Set-points'!$I43,0)</f>
        <v>0</v>
      </c>
    </row>
    <row r="128" spans="1:10" s="67" customFormat="1" x14ac:dyDescent="0.25">
      <c r="A128" s="67" t="str">
        <f>IF(ABS('800V Set-points'!$O2) &lt; _xlnm.Criteria,'800V Set-points'!$A2,0)</f>
        <v>16 HET 4563W</v>
      </c>
      <c r="B128" s="67" t="s">
        <v>187</v>
      </c>
      <c r="C128" s="120">
        <f>IF(ABS('800V Set-points'!$O2) &lt; _xlnm.Criteria,'800V Set-points'!$B2,0)</f>
        <v>73.007999999999996</v>
      </c>
      <c r="D128" s="120">
        <f>IF(ABS('800V Set-points'!$O2) &lt; _xlnm.Criteria,'800V Set-points'!$C2,0)</f>
        <v>18.251999999999999</v>
      </c>
      <c r="E128" s="67">
        <f>IF(ABS('800V Set-points'!$O2) &lt; _xlnm.Criteria,'800V Set-points'!$E2,0)</f>
        <v>0.59199999999999997</v>
      </c>
      <c r="F128" s="67">
        <f>IF(ABS('800V Set-points'!$O2) &lt; _xlnm.Criteria,'800V Set-points'!$F2,0)</f>
        <v>3203</v>
      </c>
      <c r="G128" s="67">
        <f>IF(ABS('800V Set-points'!$O2) &lt; _xlnm.Criteria,'800V Set-points'!$D2,0)</f>
        <v>2.7519999999999998</v>
      </c>
      <c r="H128" s="119">
        <f>IF(ABS('800V Set-points'!$O2) &lt; _xlnm.Criteria,'800V Set-points'!$J2,0)</f>
        <v>5319.067965392157</v>
      </c>
      <c r="I128" s="119">
        <f>IF(ABS('800V Set-points'!$O2) &lt; _xlnm.Criteria,'800V Set-points'!$K2,0)</f>
        <v>2107.9351936609933</v>
      </c>
      <c r="J128" s="67">
        <f>IF(ABS('800V Set-points'!$O2) &lt; _xlnm.Criteria,'800V Set-points'!$I2,0)</f>
        <v>2000</v>
      </c>
    </row>
    <row r="129" spans="1:10" s="67" customFormat="1" x14ac:dyDescent="0.25">
      <c r="A129" s="67">
        <f>IF(ABS('800V Set-points'!$O3) &lt; _xlnm.Criteria,'800V Set-points'!$A3,0)</f>
        <v>0</v>
      </c>
      <c r="B129" s="67" t="s">
        <v>187</v>
      </c>
      <c r="C129" s="120">
        <f>IF(ABS('800V Set-points'!$O3) &lt; _xlnm.Criteria,'800V Set-points'!$B3,0)</f>
        <v>0</v>
      </c>
      <c r="D129" s="120">
        <f>IF(ABS('800V Set-points'!$O3) &lt; _xlnm.Criteria,'800V Set-points'!$C3,0)</f>
        <v>0</v>
      </c>
      <c r="E129" s="67">
        <f>IF(ABS('800V Set-points'!$O3) &lt; _xlnm.Criteria,'800V Set-points'!$E3,0)</f>
        <v>0</v>
      </c>
      <c r="F129" s="67">
        <f>IF(ABS('800V Set-points'!$O3) &lt; _xlnm.Criteria,'800V Set-points'!$F3,0)</f>
        <v>0</v>
      </c>
      <c r="G129" s="67">
        <f>IF(ABS('800V Set-points'!$O3) &lt; _xlnm.Criteria,'800V Set-points'!$D3,0)</f>
        <v>0</v>
      </c>
      <c r="H129" s="119">
        <f>IF(ABS('800V Set-points'!$O3) &lt; _xlnm.Criteria,'800V Set-points'!$J3,0)</f>
        <v>0</v>
      </c>
      <c r="I129" s="119">
        <f>IF(ABS('800V Set-points'!$O3) &lt; _xlnm.Criteria,'800V Set-points'!$K3,0)</f>
        <v>0</v>
      </c>
      <c r="J129" s="67">
        <f>IF(ABS('800V Set-points'!$O3) &lt; _xlnm.Criteria,'800V Set-points'!$I3,0)</f>
        <v>0</v>
      </c>
    </row>
    <row r="130" spans="1:10" s="67" customFormat="1" x14ac:dyDescent="0.25">
      <c r="A130" s="67">
        <f>IF(ABS('800V Set-points'!$O4) &lt; _xlnm.Criteria,'800V Set-points'!$A4,0)</f>
        <v>0</v>
      </c>
      <c r="B130" s="67" t="s">
        <v>187</v>
      </c>
      <c r="C130" s="120">
        <f>IF(ABS('800V Set-points'!$O4) &lt; _xlnm.Criteria,'800V Set-points'!$B4,0)</f>
        <v>0</v>
      </c>
      <c r="D130" s="120">
        <f>IF(ABS('800V Set-points'!$O4) &lt; _xlnm.Criteria,'800V Set-points'!$C4,0)</f>
        <v>0</v>
      </c>
      <c r="E130" s="67">
        <f>IF(ABS('800V Set-points'!$O4) &lt; _xlnm.Criteria,'800V Set-points'!$E4,0)</f>
        <v>0</v>
      </c>
      <c r="F130" s="67">
        <f>IF(ABS('800V Set-points'!$O4) &lt; _xlnm.Criteria,'800V Set-points'!$F4,0)</f>
        <v>0</v>
      </c>
      <c r="G130" s="67">
        <f>IF(ABS('800V Set-points'!$O4) &lt; _xlnm.Criteria,'800V Set-points'!$D4,0)</f>
        <v>0</v>
      </c>
      <c r="H130" s="119">
        <f>IF(ABS('800V Set-points'!$O4) &lt; _xlnm.Criteria,'800V Set-points'!$J4,0)</f>
        <v>0</v>
      </c>
      <c r="I130" s="119">
        <f>IF(ABS('800V Set-points'!$O4) &lt; _xlnm.Criteria,'800V Set-points'!$K4,0)</f>
        <v>0</v>
      </c>
      <c r="J130" s="67">
        <f>IF(ABS('800V Set-points'!$O4) &lt; _xlnm.Criteria,'800V Set-points'!$I4,0)</f>
        <v>0</v>
      </c>
    </row>
    <row r="131" spans="1:10" s="67" customFormat="1" x14ac:dyDescent="0.25">
      <c r="A131" s="67" t="str">
        <f>IF(ABS('800V Set-points'!$O5) &lt; _xlnm.Criteria,'800V Set-points'!$A5,0)</f>
        <v>16 HET 6342W</v>
      </c>
      <c r="B131" s="67" t="s">
        <v>187</v>
      </c>
      <c r="C131" s="120">
        <f>IF(ABS('800V Set-points'!$O5) &lt; _xlnm.Criteria,'800V Set-points'!$B5,0)</f>
        <v>101.47200000000001</v>
      </c>
      <c r="D131" s="120">
        <f>IF(ABS('800V Set-points'!$O5) &lt; _xlnm.Criteria,'800V Set-points'!$C5,0)</f>
        <v>25.368000000000002</v>
      </c>
      <c r="E131" s="67">
        <f>IF(ABS('800V Set-points'!$O5) &lt; _xlnm.Criteria,'800V Set-points'!$E5,0)</f>
        <v>0.57999999999999996</v>
      </c>
      <c r="F131" s="67">
        <f>IF(ABS('800V Set-points'!$O5) &lt; _xlnm.Criteria,'800V Set-points'!$F5,0)</f>
        <v>3152</v>
      </c>
      <c r="G131" s="67">
        <f>IF(ABS('800V Set-points'!$O5) &lt; _xlnm.Criteria,'800V Set-points'!$D5,0)</f>
        <v>3.8079999999999998</v>
      </c>
      <c r="H131" s="119">
        <f>IF(ABS('800V Set-points'!$O5) &lt; _xlnm.Criteria,'800V Set-points'!$J5,0)</f>
        <v>6050.1136529215692</v>
      </c>
      <c r="I131" s="119">
        <f>IF(ABS('800V Set-points'!$O5) &lt; _xlnm.Criteria,'800V Set-points'!$K5,0)</f>
        <v>2392.9140529700589</v>
      </c>
      <c r="J131" s="67">
        <f>IF(ABS('800V Set-points'!$O5) &lt; _xlnm.Criteria,'800V Set-points'!$I5,0)</f>
        <v>2000</v>
      </c>
    </row>
    <row r="132" spans="1:10" s="67" customFormat="1" x14ac:dyDescent="0.25">
      <c r="A132" s="67">
        <f>IF(ABS('800V Set-points'!$O6) &lt; _xlnm.Criteria,'800V Set-points'!$A6,0)</f>
        <v>0</v>
      </c>
      <c r="B132" s="67" t="s">
        <v>187</v>
      </c>
      <c r="C132" s="120">
        <f>IF(ABS('800V Set-points'!$O6) &lt; _xlnm.Criteria,'800V Set-points'!$B6,0)</f>
        <v>0</v>
      </c>
      <c r="D132" s="120">
        <f>IF(ABS('800V Set-points'!$O6) &lt; _xlnm.Criteria,'800V Set-points'!$C6,0)</f>
        <v>0</v>
      </c>
      <c r="E132" s="67">
        <f>IF(ABS('800V Set-points'!$O6) &lt; _xlnm.Criteria,'800V Set-points'!$E6,0)</f>
        <v>0</v>
      </c>
      <c r="F132" s="67">
        <f>IF(ABS('800V Set-points'!$O6) &lt; _xlnm.Criteria,'800V Set-points'!$F6,0)</f>
        <v>0</v>
      </c>
      <c r="G132" s="67">
        <f>IF(ABS('800V Set-points'!$O6) &lt; _xlnm.Criteria,'800V Set-points'!$D6,0)</f>
        <v>0</v>
      </c>
      <c r="H132" s="119">
        <f>IF(ABS('800V Set-points'!$O6) &lt; _xlnm.Criteria,'800V Set-points'!$J6,0)</f>
        <v>0</v>
      </c>
      <c r="I132" s="119">
        <f>IF(ABS('800V Set-points'!$O6) &lt; _xlnm.Criteria,'800V Set-points'!$K6,0)</f>
        <v>0</v>
      </c>
      <c r="J132" s="67">
        <f>IF(ABS('800V Set-points'!$O6) &lt; _xlnm.Criteria,'800V Set-points'!$I6,0)</f>
        <v>0</v>
      </c>
    </row>
    <row r="133" spans="1:10" s="67" customFormat="1" x14ac:dyDescent="0.25">
      <c r="A133" s="67">
        <f>IF(ABS('800V Set-points'!$O7) &lt; _xlnm.Criteria,'800V Set-points'!$A7,0)</f>
        <v>0</v>
      </c>
      <c r="B133" s="67" t="s">
        <v>187</v>
      </c>
      <c r="C133" s="120">
        <f>IF(ABS('800V Set-points'!$O7) &lt; _xlnm.Criteria,'800V Set-points'!$B7,0)</f>
        <v>0</v>
      </c>
      <c r="D133" s="120">
        <f>IF(ABS('800V Set-points'!$O7) &lt; _xlnm.Criteria,'800V Set-points'!$C7,0)</f>
        <v>0</v>
      </c>
      <c r="E133" s="67">
        <f>IF(ABS('800V Set-points'!$O7) &lt; _xlnm.Criteria,'800V Set-points'!$E7,0)</f>
        <v>0</v>
      </c>
      <c r="F133" s="67">
        <f>IF(ABS('800V Set-points'!$O7) &lt; _xlnm.Criteria,'800V Set-points'!$F7,0)</f>
        <v>0</v>
      </c>
      <c r="G133" s="67">
        <f>IF(ABS('800V Set-points'!$O7) &lt; _xlnm.Criteria,'800V Set-points'!$D7,0)</f>
        <v>0</v>
      </c>
      <c r="H133" s="119">
        <f>IF(ABS('800V Set-points'!$O7) &lt; _xlnm.Criteria,'800V Set-points'!$J7,0)</f>
        <v>0</v>
      </c>
      <c r="I133" s="119">
        <f>IF(ABS('800V Set-points'!$O7) &lt; _xlnm.Criteria,'800V Set-points'!$K7,0)</f>
        <v>0</v>
      </c>
      <c r="J133" s="67">
        <f>IF(ABS('800V Set-points'!$O7) &lt; _xlnm.Criteria,'800V Set-points'!$I7,0)</f>
        <v>0</v>
      </c>
    </row>
    <row r="134" spans="1:10" s="67" customFormat="1" x14ac:dyDescent="0.25">
      <c r="A134" s="67">
        <f>IF(ABS('800V Set-points'!$O8) &lt; _xlnm.Criteria,'800V Set-points'!$A8,0)</f>
        <v>0</v>
      </c>
      <c r="B134" s="67" t="s">
        <v>187</v>
      </c>
      <c r="C134" s="120">
        <f>IF(ABS('800V Set-points'!$O8) &lt; _xlnm.Criteria,'800V Set-points'!$B8,0)</f>
        <v>0</v>
      </c>
      <c r="D134" s="120">
        <f>IF(ABS('800V Set-points'!$O8) &lt; _xlnm.Criteria,'800V Set-points'!$C8,0)</f>
        <v>0</v>
      </c>
      <c r="E134" s="67">
        <f>IF(ABS('800V Set-points'!$O8) &lt; _xlnm.Criteria,'800V Set-points'!$E8,0)</f>
        <v>0</v>
      </c>
      <c r="F134" s="67">
        <f>IF(ABS('800V Set-points'!$O8) &lt; _xlnm.Criteria,'800V Set-points'!$F8,0)</f>
        <v>0</v>
      </c>
      <c r="G134" s="67">
        <f>IF(ABS('800V Set-points'!$O8) &lt; _xlnm.Criteria,'800V Set-points'!$D8,0)</f>
        <v>0</v>
      </c>
      <c r="H134" s="119">
        <f>IF(ABS('800V Set-points'!$O8) &lt; _xlnm.Criteria,'800V Set-points'!$J8,0)</f>
        <v>0</v>
      </c>
      <c r="I134" s="119">
        <f>IF(ABS('800V Set-points'!$O8) &lt; _xlnm.Criteria,'800V Set-points'!$K8,0)</f>
        <v>0</v>
      </c>
      <c r="J134" s="67">
        <f>IF(ABS('800V Set-points'!$O8) &lt; _xlnm.Criteria,'800V Set-points'!$I8,0)</f>
        <v>0</v>
      </c>
    </row>
    <row r="135" spans="1:10" s="67" customFormat="1" x14ac:dyDescent="0.25">
      <c r="A135" s="67" t="str">
        <f>IF(ABS('800V Set-points'!$O9) &lt; _xlnm.Criteria,'800V Set-points'!$A9,0)</f>
        <v>16 HET 8047W</v>
      </c>
      <c r="B135" s="67" t="s">
        <v>187</v>
      </c>
      <c r="C135" s="120">
        <f>IF(ABS('800V Set-points'!$O9) &lt; _xlnm.Criteria,'800V Set-points'!$B9,0)</f>
        <v>128.75200000000001</v>
      </c>
      <c r="D135" s="120">
        <f>IF(ABS('800V Set-points'!$O9) &lt; _xlnm.Criteria,'800V Set-points'!$C9,0)</f>
        <v>32.188000000000002</v>
      </c>
      <c r="E135" s="67">
        <f>IF(ABS('800V Set-points'!$O9) &lt; _xlnm.Criteria,'800V Set-points'!$E9,0)</f>
        <v>0.60699999999999998</v>
      </c>
      <c r="F135" s="67">
        <f>IF(ABS('800V Set-points'!$O9) &lt; _xlnm.Criteria,'800V Set-points'!$F9,0)</f>
        <v>3068</v>
      </c>
      <c r="G135" s="67">
        <f>IF(ABS('800V Set-points'!$O9) &lt; _xlnm.Criteria,'800V Set-points'!$D9,0)</f>
        <v>5.2</v>
      </c>
      <c r="H135" s="119">
        <f>IF(ABS('800V Set-points'!$O9) &lt; _xlnm.Criteria,'800V Set-points'!$J9,0)</f>
        <v>8499.5201239803937</v>
      </c>
      <c r="I135" s="119">
        <f>IF(ABS('800V Set-points'!$O9) &lt; _xlnm.Criteria,'800V Set-points'!$K9,0)</f>
        <v>3669.3396526441006</v>
      </c>
      <c r="J135" s="67">
        <f>IF(ABS('800V Set-points'!$O9) &lt; _xlnm.Criteria,'800V Set-points'!$I9,0)</f>
        <v>4000</v>
      </c>
    </row>
    <row r="136" spans="1:10" s="67" customFormat="1" x14ac:dyDescent="0.25">
      <c r="A136" s="67">
        <f>IF(ABS('800V Set-points'!$O10) &lt; _xlnm.Criteria,'800V Set-points'!$A10,0)</f>
        <v>0</v>
      </c>
      <c r="B136" s="67" t="s">
        <v>187</v>
      </c>
      <c r="C136" s="120">
        <f>IF(ABS('800V Set-points'!$O10) &lt; _xlnm.Criteria,'800V Set-points'!$B10,0)</f>
        <v>0</v>
      </c>
      <c r="D136" s="120">
        <f>IF(ABS('800V Set-points'!$O10) &lt; _xlnm.Criteria,'800V Set-points'!$C10,0)</f>
        <v>0</v>
      </c>
      <c r="E136" s="67">
        <f>IF(ABS('800V Set-points'!$O10) &lt; _xlnm.Criteria,'800V Set-points'!$E10,0)</f>
        <v>0</v>
      </c>
      <c r="F136" s="67">
        <f>IF(ABS('800V Set-points'!$O10) &lt; _xlnm.Criteria,'800V Set-points'!$F10,0)</f>
        <v>0</v>
      </c>
      <c r="G136" s="67">
        <f>IF(ABS('800V Set-points'!$O10) &lt; _xlnm.Criteria,'800V Set-points'!$D10,0)</f>
        <v>0</v>
      </c>
      <c r="H136" s="119">
        <f>IF(ABS('800V Set-points'!$O10) &lt; _xlnm.Criteria,'800V Set-points'!$J10,0)</f>
        <v>0</v>
      </c>
      <c r="I136" s="119">
        <f>IF(ABS('800V Set-points'!$O10) &lt; _xlnm.Criteria,'800V Set-points'!$K10,0)</f>
        <v>0</v>
      </c>
      <c r="J136" s="67">
        <f>IF(ABS('800V Set-points'!$O10) &lt; _xlnm.Criteria,'800V Set-points'!$I10,0)</f>
        <v>0</v>
      </c>
    </row>
    <row r="137" spans="1:10" s="67" customFormat="1" x14ac:dyDescent="0.25">
      <c r="A137" s="67" t="str">
        <f>IF(ABS('800V Set-points'!$O11) &lt; _xlnm.Criteria,'800V Set-points'!$A11,0)</f>
        <v>32 HET 4563W</v>
      </c>
      <c r="B137" s="67" t="s">
        <v>187</v>
      </c>
      <c r="C137" s="120">
        <f>IF(ABS('800V Set-points'!$O11) &lt; _xlnm.Criteria,'800V Set-points'!$B11,0)</f>
        <v>146.01599999999999</v>
      </c>
      <c r="D137" s="120">
        <f>IF(ABS('800V Set-points'!$O11) &lt; _xlnm.Criteria,'800V Set-points'!$C11,0)</f>
        <v>18.251999999999999</v>
      </c>
      <c r="E137" s="67">
        <f>IF(ABS('800V Set-points'!$O11) &lt; _xlnm.Criteria,'800V Set-points'!$E11,0)</f>
        <v>0.59199999999999997</v>
      </c>
      <c r="F137" s="67">
        <f>IF(ABS('800V Set-points'!$O11) &lt; _xlnm.Criteria,'800V Set-points'!$F11,0)</f>
        <v>3203</v>
      </c>
      <c r="G137" s="67">
        <f>IF(ABS('800V Set-points'!$O11) &lt; _xlnm.Criteria,'800V Set-points'!$D11,0)</f>
        <v>5.5039999999999996</v>
      </c>
      <c r="H137" s="119">
        <f>IF(ABS('800V Set-points'!$O11) &lt; _xlnm.Criteria,'800V Set-points'!$J11,0)</f>
        <v>10027.254979464986</v>
      </c>
      <c r="I137" s="119">
        <f>IF(ABS('800V Set-points'!$O11) &lt; _xlnm.Criteria,'800V Set-points'!$K11,0)</f>
        <v>4012.0907376211931</v>
      </c>
      <c r="J137" s="67">
        <f>IF(ABS('800V Set-points'!$O11) &lt; _xlnm.Criteria,'800V Set-points'!$I11,0)</f>
        <v>4000</v>
      </c>
    </row>
    <row r="138" spans="1:10" s="67" customFormat="1" x14ac:dyDescent="0.25">
      <c r="A138" s="67">
        <f>IF(ABS('800V Set-points'!$O12) &lt; _xlnm.Criteria,'800V Set-points'!$A12,0)</f>
        <v>0</v>
      </c>
      <c r="B138" s="67" t="s">
        <v>187</v>
      </c>
      <c r="C138" s="120">
        <f>IF(ABS('800V Set-points'!$O12) &lt; _xlnm.Criteria,'800V Set-points'!$B12,0)</f>
        <v>0</v>
      </c>
      <c r="D138" s="120">
        <f>IF(ABS('800V Set-points'!$O12) &lt; _xlnm.Criteria,'800V Set-points'!$C12,0)</f>
        <v>0</v>
      </c>
      <c r="E138" s="67">
        <f>IF(ABS('800V Set-points'!$O12) &lt; _xlnm.Criteria,'800V Set-points'!$E12,0)</f>
        <v>0</v>
      </c>
      <c r="F138" s="67">
        <f>IF(ABS('800V Set-points'!$O12) &lt; _xlnm.Criteria,'800V Set-points'!$F12,0)</f>
        <v>0</v>
      </c>
      <c r="G138" s="67">
        <f>IF(ABS('800V Set-points'!$O12) &lt; _xlnm.Criteria,'800V Set-points'!$D12,0)</f>
        <v>0</v>
      </c>
      <c r="H138" s="119">
        <f>IF(ABS('800V Set-points'!$O12) &lt; _xlnm.Criteria,'800V Set-points'!$J12,0)</f>
        <v>0</v>
      </c>
      <c r="I138" s="119">
        <f>IF(ABS('800V Set-points'!$O12) &lt; _xlnm.Criteria,'800V Set-points'!$K12,0)</f>
        <v>0</v>
      </c>
      <c r="J138" s="67">
        <f>IF(ABS('800V Set-points'!$O12) &lt; _xlnm.Criteria,'800V Set-points'!$I12,0)</f>
        <v>0</v>
      </c>
    </row>
    <row r="139" spans="1:10" s="67" customFormat="1" x14ac:dyDescent="0.25">
      <c r="A139" s="67">
        <f>IF(ABS('800V Set-points'!$O13) &lt; _xlnm.Criteria,'800V Set-points'!$A13,0)</f>
        <v>0</v>
      </c>
      <c r="B139" s="67" t="s">
        <v>187</v>
      </c>
      <c r="C139" s="120">
        <f>IF(ABS('800V Set-points'!$O13) &lt; _xlnm.Criteria,'800V Set-points'!$B13,0)</f>
        <v>0</v>
      </c>
      <c r="D139" s="120">
        <f>IF(ABS('800V Set-points'!$O13) &lt; _xlnm.Criteria,'800V Set-points'!$C13,0)</f>
        <v>0</v>
      </c>
      <c r="E139" s="67">
        <f>IF(ABS('800V Set-points'!$O13) &lt; _xlnm.Criteria,'800V Set-points'!$E13,0)</f>
        <v>0</v>
      </c>
      <c r="F139" s="67">
        <f>IF(ABS('800V Set-points'!$O13) &lt; _xlnm.Criteria,'800V Set-points'!$F13,0)</f>
        <v>0</v>
      </c>
      <c r="G139" s="67">
        <f>IF(ABS('800V Set-points'!$O13) &lt; _xlnm.Criteria,'800V Set-points'!$D13,0)</f>
        <v>0</v>
      </c>
      <c r="H139" s="119">
        <f>IF(ABS('800V Set-points'!$O13) &lt; _xlnm.Criteria,'800V Set-points'!$J13,0)</f>
        <v>0</v>
      </c>
      <c r="I139" s="119">
        <f>IF(ABS('800V Set-points'!$O13) &lt; _xlnm.Criteria,'800V Set-points'!$K13,0)</f>
        <v>0</v>
      </c>
      <c r="J139" s="67">
        <f>IF(ABS('800V Set-points'!$O13) &lt; _xlnm.Criteria,'800V Set-points'!$I13,0)</f>
        <v>0</v>
      </c>
    </row>
    <row r="140" spans="1:10" s="67" customFormat="1" x14ac:dyDescent="0.25">
      <c r="A140" s="67">
        <f>IF(ABS('800V Set-points'!$O14) &lt; _xlnm.Criteria,'800V Set-points'!$A14,0)</f>
        <v>0</v>
      </c>
      <c r="B140" s="67" t="s">
        <v>187</v>
      </c>
      <c r="C140" s="120">
        <f>IF(ABS('800V Set-points'!$O14) &lt; _xlnm.Criteria,'800V Set-points'!$B14,0)</f>
        <v>0</v>
      </c>
      <c r="D140" s="120">
        <f>IF(ABS('800V Set-points'!$O14) &lt; _xlnm.Criteria,'800V Set-points'!$C14,0)</f>
        <v>0</v>
      </c>
      <c r="E140" s="67">
        <f>IF(ABS('800V Set-points'!$O14) &lt; _xlnm.Criteria,'800V Set-points'!$E14,0)</f>
        <v>0</v>
      </c>
      <c r="F140" s="67">
        <f>IF(ABS('800V Set-points'!$O14) &lt; _xlnm.Criteria,'800V Set-points'!$F14,0)</f>
        <v>0</v>
      </c>
      <c r="G140" s="67">
        <f>IF(ABS('800V Set-points'!$O14) &lt; _xlnm.Criteria,'800V Set-points'!$D14,0)</f>
        <v>0</v>
      </c>
      <c r="H140" s="119">
        <f>IF(ABS('800V Set-points'!$O14) &lt; _xlnm.Criteria,'800V Set-points'!$J14,0)</f>
        <v>0</v>
      </c>
      <c r="I140" s="119">
        <f>IF(ABS('800V Set-points'!$O14) &lt; _xlnm.Criteria,'800V Set-points'!$K14,0)</f>
        <v>0</v>
      </c>
      <c r="J140" s="67">
        <f>IF(ABS('800V Set-points'!$O14) &lt; _xlnm.Criteria,'800V Set-points'!$I14,0)</f>
        <v>0</v>
      </c>
    </row>
    <row r="141" spans="1:10" s="67" customFormat="1" x14ac:dyDescent="0.25">
      <c r="A141" s="67" t="str">
        <f>IF(ABS('800V Set-points'!$O15) &lt; _xlnm.Criteria,'800V Set-points'!$A15,0)</f>
        <v>32 HET 6342W</v>
      </c>
      <c r="B141" s="67" t="s">
        <v>187</v>
      </c>
      <c r="C141" s="120">
        <f>IF(ABS('800V Set-points'!$O15) &lt; _xlnm.Criteria,'800V Set-points'!$B15,0)</f>
        <v>202.94400000000002</v>
      </c>
      <c r="D141" s="120">
        <f>IF(ABS('800V Set-points'!$O15) &lt; _xlnm.Criteria,'800V Set-points'!$C15,0)</f>
        <v>25.368000000000002</v>
      </c>
      <c r="E141" s="67">
        <f>IF(ABS('800V Set-points'!$O15) &lt; _xlnm.Criteria,'800V Set-points'!$E15,0)</f>
        <v>0.57999999999999996</v>
      </c>
      <c r="F141" s="67">
        <f>IF(ABS('800V Set-points'!$O15) &lt; _xlnm.Criteria,'800V Set-points'!$F15,0)</f>
        <v>3152</v>
      </c>
      <c r="G141" s="67">
        <f>IF(ABS('800V Set-points'!$O15) &lt; _xlnm.Criteria,'800V Set-points'!$D15,0)</f>
        <v>7.6159999999999997</v>
      </c>
      <c r="H141" s="119">
        <f>IF(ABS('800V Set-points'!$O15) &lt; _xlnm.Criteria,'800V Set-points'!$J15,0)</f>
        <v>15093</v>
      </c>
      <c r="I141" s="119">
        <f>IF(ABS('800V Set-points'!$O15) &lt; _xlnm.Criteria,'800V Set-points'!$K15,0)</f>
        <v>6480.4498569217039</v>
      </c>
      <c r="J141" s="67">
        <f>IF(ABS('800V Set-points'!$O15) &lt; _xlnm.Criteria,'800V Set-points'!$I15,0)</f>
        <v>8000</v>
      </c>
    </row>
    <row r="142" spans="1:10" s="67" customFormat="1" x14ac:dyDescent="0.25">
      <c r="A142" s="67">
        <f>IF(ABS('800V Set-points'!$O16) &lt; _xlnm.Criteria,'800V Set-points'!$A16,0)</f>
        <v>0</v>
      </c>
      <c r="B142" s="67" t="s">
        <v>187</v>
      </c>
      <c r="C142" s="120">
        <f>IF(ABS('800V Set-points'!$O16) &lt; _xlnm.Criteria,'800V Set-points'!$B16,0)</f>
        <v>0</v>
      </c>
      <c r="D142" s="120">
        <f>IF(ABS('800V Set-points'!$O16) &lt; _xlnm.Criteria,'800V Set-points'!$C16,0)</f>
        <v>0</v>
      </c>
      <c r="E142" s="67">
        <f>IF(ABS('800V Set-points'!$O16) &lt; _xlnm.Criteria,'800V Set-points'!$E16,0)</f>
        <v>0</v>
      </c>
      <c r="F142" s="67">
        <f>IF(ABS('800V Set-points'!$O16) &lt; _xlnm.Criteria,'800V Set-points'!$F16,0)</f>
        <v>0</v>
      </c>
      <c r="G142" s="67">
        <f>IF(ABS('800V Set-points'!$O16) &lt; _xlnm.Criteria,'800V Set-points'!$D16,0)</f>
        <v>0</v>
      </c>
      <c r="H142" s="119">
        <f>IF(ABS('800V Set-points'!$O16) &lt; _xlnm.Criteria,'800V Set-points'!$J16,0)</f>
        <v>0</v>
      </c>
      <c r="I142" s="119">
        <f>IF(ABS('800V Set-points'!$O16) &lt; _xlnm.Criteria,'800V Set-points'!$K16,0)</f>
        <v>0</v>
      </c>
      <c r="J142" s="67">
        <f>IF(ABS('800V Set-points'!$O16) &lt; _xlnm.Criteria,'800V Set-points'!$I16,0)</f>
        <v>0</v>
      </c>
    </row>
    <row r="143" spans="1:10" s="67" customFormat="1" x14ac:dyDescent="0.25">
      <c r="A143" s="67">
        <f>IF(ABS('800V Set-points'!$O17) &lt; _xlnm.Criteria,'800V Set-points'!$A17,0)</f>
        <v>0</v>
      </c>
      <c r="B143" s="67" t="s">
        <v>187</v>
      </c>
      <c r="C143" s="120">
        <f>IF(ABS('800V Set-points'!$O17) &lt; _xlnm.Criteria,'800V Set-points'!$B17,0)</f>
        <v>0</v>
      </c>
      <c r="D143" s="120">
        <f>IF(ABS('800V Set-points'!$O17) &lt; _xlnm.Criteria,'800V Set-points'!$C17,0)</f>
        <v>0</v>
      </c>
      <c r="E143" s="67">
        <f>IF(ABS('800V Set-points'!$O17) &lt; _xlnm.Criteria,'800V Set-points'!$E17,0)</f>
        <v>0</v>
      </c>
      <c r="F143" s="67">
        <f>IF(ABS('800V Set-points'!$O17) &lt; _xlnm.Criteria,'800V Set-points'!$F17,0)</f>
        <v>0</v>
      </c>
      <c r="G143" s="67">
        <f>IF(ABS('800V Set-points'!$O17) &lt; _xlnm.Criteria,'800V Set-points'!$D17,0)</f>
        <v>0</v>
      </c>
      <c r="H143" s="119">
        <f>IF(ABS('800V Set-points'!$O17) &lt; _xlnm.Criteria,'800V Set-points'!$J17,0)</f>
        <v>0</v>
      </c>
      <c r="I143" s="119">
        <f>IF(ABS('800V Set-points'!$O17) &lt; _xlnm.Criteria,'800V Set-points'!$K17,0)</f>
        <v>0</v>
      </c>
      <c r="J143" s="67">
        <f>IF(ABS('800V Set-points'!$O17) &lt; _xlnm.Criteria,'800V Set-points'!$I17,0)</f>
        <v>0</v>
      </c>
    </row>
    <row r="144" spans="1:10" s="67" customFormat="1" x14ac:dyDescent="0.25">
      <c r="A144" s="67" t="str">
        <f>IF(ABS('800V Set-points'!$O18) &lt; _xlnm.Criteria,'800V Set-points'!$A18,0)</f>
        <v>32 HET 8047W</v>
      </c>
      <c r="B144" s="67" t="s">
        <v>187</v>
      </c>
      <c r="C144" s="120">
        <f>IF(ABS('800V Set-points'!$O18) &lt; _xlnm.Criteria,'800V Set-points'!$B18,0)</f>
        <v>257.50400000000002</v>
      </c>
      <c r="D144" s="120">
        <f>IF(ABS('800V Set-points'!$O18) &lt; _xlnm.Criteria,'800V Set-points'!$C18,0)</f>
        <v>32.188000000000002</v>
      </c>
      <c r="E144" s="67">
        <f>IF(ABS('800V Set-points'!$O18) &lt; _xlnm.Criteria,'800V Set-points'!$E18,0)</f>
        <v>0.60699999999999998</v>
      </c>
      <c r="F144" s="67">
        <f>IF(ABS('800V Set-points'!$O18) &lt; _xlnm.Criteria,'800V Set-points'!$F18,0)</f>
        <v>3068</v>
      </c>
      <c r="G144" s="67">
        <f>IF(ABS('800V Set-points'!$O18) &lt; _xlnm.Criteria,'800V Set-points'!$D18,0)</f>
        <v>10.4</v>
      </c>
      <c r="H144" s="119">
        <f>IF(ABS('800V Set-points'!$O18) &lt; _xlnm.Criteria,'800V Set-points'!$J18,0)</f>
        <v>16853</v>
      </c>
      <c r="I144" s="119">
        <f>IF(ABS('800V Set-points'!$O18) &lt; _xlnm.Criteria,'800V Set-points'!$K18,0)</f>
        <v>7287.6416134321144</v>
      </c>
      <c r="J144" s="67">
        <f>IF(ABS('800V Set-points'!$O18) &lt; _xlnm.Criteria,'800V Set-points'!$I18,0)</f>
        <v>8000</v>
      </c>
    </row>
    <row r="145" spans="1:10" s="67" customFormat="1" x14ac:dyDescent="0.25">
      <c r="A145" s="67" t="str">
        <f>IF(ABS('800V Set-points'!$O19) &lt; _xlnm.Criteria,'800V Set-points'!$A19,0)</f>
        <v>32 HET 8047W</v>
      </c>
      <c r="B145" s="67" t="s">
        <v>187</v>
      </c>
      <c r="C145" s="120">
        <f>IF(ABS('800V Set-points'!$O19) &lt; _xlnm.Criteria,'800V Set-points'!$B19,0)</f>
        <v>257.50400000000002</v>
      </c>
      <c r="D145" s="120">
        <f>IF(ABS('800V Set-points'!$O19) &lt; _xlnm.Criteria,'800V Set-points'!$C19,0)</f>
        <v>32.188000000000002</v>
      </c>
      <c r="E145" s="67">
        <f>IF(ABS('800V Set-points'!$O19) &lt; _xlnm.Criteria,'800V Set-points'!$E19,0)</f>
        <v>0.60699999999999998</v>
      </c>
      <c r="F145" s="67">
        <f>IF(ABS('800V Set-points'!$O19) &lt; _xlnm.Criteria,'800V Set-points'!$F19,0)</f>
        <v>3068</v>
      </c>
      <c r="G145" s="67">
        <f>IF(ABS('800V Set-points'!$O19) &lt; _xlnm.Criteria,'800V Set-points'!$D19,0)</f>
        <v>10.4</v>
      </c>
      <c r="H145" s="119">
        <f>IF(ABS('800V Set-points'!$O19) &lt; _xlnm.Criteria,'800V Set-points'!$J19,0)</f>
        <v>20853</v>
      </c>
      <c r="I145" s="119">
        <f>IF(ABS('800V Set-points'!$O19) &lt; _xlnm.Criteria,'800V Set-points'!$K19,0)</f>
        <v>9384.5029609884696</v>
      </c>
      <c r="J145" s="67">
        <f>IF(ABS('800V Set-points'!$O19) &lt; _xlnm.Criteria,'800V Set-points'!$I19,0)</f>
        <v>12000</v>
      </c>
    </row>
    <row r="146" spans="1:10" s="67" customFormat="1" x14ac:dyDescent="0.25">
      <c r="A146" s="67" t="str">
        <f>IF(ABS('800V Set-points'!$O20) &lt; _xlnm.Criteria,'800V Set-points'!$A20,0)</f>
        <v>48 HET 4563W</v>
      </c>
      <c r="B146" s="67" t="s">
        <v>187</v>
      </c>
      <c r="C146" s="120">
        <f>IF(ABS('800V Set-points'!$O20) &lt; _xlnm.Criteria,'800V Set-points'!$B20,0)</f>
        <v>219.024</v>
      </c>
      <c r="D146" s="120">
        <f>IF(ABS('800V Set-points'!$O20) &lt; _xlnm.Criteria,'800V Set-points'!$C20,0)</f>
        <v>18.251999999999999</v>
      </c>
      <c r="E146" s="67">
        <f>IF(ABS('800V Set-points'!$O20) &lt; _xlnm.Criteria,'800V Set-points'!$E20,0)</f>
        <v>0.59199999999999997</v>
      </c>
      <c r="F146" s="67">
        <f>IF(ABS('800V Set-points'!$O20) &lt; _xlnm.Criteria,'800V Set-points'!$F20,0)</f>
        <v>3203</v>
      </c>
      <c r="G146" s="67">
        <f>IF(ABS('800V Set-points'!$O20) &lt; _xlnm.Criteria,'800V Set-points'!$D20,0)</f>
        <v>8.2560000000000002</v>
      </c>
      <c r="H146" s="119">
        <f>IF(ABS('800V Set-points'!$O20) &lt; _xlnm.Criteria,'800V Set-points'!$J20,0)</f>
        <v>16713</v>
      </c>
      <c r="I146" s="119">
        <f>IF(ABS('800V Set-points'!$O20) &lt; _xlnm.Criteria,'800V Set-points'!$K20,0)</f>
        <v>6909.5097418517071</v>
      </c>
      <c r="J146" s="67">
        <f>IF(ABS('800V Set-points'!$O20) &lt; _xlnm.Criteria,'800V Set-points'!$I20,0)</f>
        <v>8000</v>
      </c>
    </row>
    <row r="147" spans="1:10" s="67" customFormat="1" x14ac:dyDescent="0.25">
      <c r="A147" s="67">
        <f>IF(ABS('800V Set-points'!$O21) &lt; _xlnm.Criteria,'800V Set-points'!$A21,0)</f>
        <v>0</v>
      </c>
      <c r="B147" s="67" t="s">
        <v>187</v>
      </c>
      <c r="C147" s="120">
        <f>IF(ABS('800V Set-points'!$O21) &lt; _xlnm.Criteria,'800V Set-points'!$B21,0)</f>
        <v>0</v>
      </c>
      <c r="D147" s="120">
        <f>IF(ABS('800V Set-points'!$O21) &lt; _xlnm.Criteria,'800V Set-points'!$C21,0)</f>
        <v>0</v>
      </c>
      <c r="E147" s="67">
        <f>IF(ABS('800V Set-points'!$O21) &lt; _xlnm.Criteria,'800V Set-points'!$E21,0)</f>
        <v>0</v>
      </c>
      <c r="F147" s="67">
        <f>IF(ABS('800V Set-points'!$O21) &lt; _xlnm.Criteria,'800V Set-points'!$F21,0)</f>
        <v>0</v>
      </c>
      <c r="G147" s="67">
        <f>IF(ABS('800V Set-points'!$O21) &lt; _xlnm.Criteria,'800V Set-points'!$D21,0)</f>
        <v>0</v>
      </c>
      <c r="H147" s="119">
        <f>IF(ABS('800V Set-points'!$O21) &lt; _xlnm.Criteria,'800V Set-points'!$J21,0)</f>
        <v>0</v>
      </c>
      <c r="I147" s="119">
        <f>IF(ABS('800V Set-points'!$O21) &lt; _xlnm.Criteria,'800V Set-points'!$K21,0)</f>
        <v>0</v>
      </c>
      <c r="J147" s="67">
        <f>IF(ABS('800V Set-points'!$O21) &lt; _xlnm.Criteria,'800V Set-points'!$I21,0)</f>
        <v>0</v>
      </c>
    </row>
    <row r="148" spans="1:10" s="67" customFormat="1" x14ac:dyDescent="0.25">
      <c r="A148" s="67">
        <f>IF(ABS('800V Set-points'!$O22) &lt; _xlnm.Criteria,'800V Set-points'!$A22,0)</f>
        <v>0</v>
      </c>
      <c r="B148" s="67" t="s">
        <v>187</v>
      </c>
      <c r="C148" s="120">
        <f>IF(ABS('800V Set-points'!$O22) &lt; _xlnm.Criteria,'800V Set-points'!$B22,0)</f>
        <v>0</v>
      </c>
      <c r="D148" s="120">
        <f>IF(ABS('800V Set-points'!$O22) &lt; _xlnm.Criteria,'800V Set-points'!$C22,0)</f>
        <v>0</v>
      </c>
      <c r="E148" s="67">
        <f>IF(ABS('800V Set-points'!$O22) &lt; _xlnm.Criteria,'800V Set-points'!$E22,0)</f>
        <v>0</v>
      </c>
      <c r="F148" s="67">
        <f>IF(ABS('800V Set-points'!$O22) &lt; _xlnm.Criteria,'800V Set-points'!$F22,0)</f>
        <v>0</v>
      </c>
      <c r="G148" s="67">
        <f>IF(ABS('800V Set-points'!$O22) &lt; _xlnm.Criteria,'800V Set-points'!$D22,0)</f>
        <v>0</v>
      </c>
      <c r="H148" s="119">
        <f>IF(ABS('800V Set-points'!$O22) &lt; _xlnm.Criteria,'800V Set-points'!$J22,0)</f>
        <v>0</v>
      </c>
      <c r="I148" s="119">
        <f>IF(ABS('800V Set-points'!$O22) &lt; _xlnm.Criteria,'800V Set-points'!$K22,0)</f>
        <v>0</v>
      </c>
      <c r="J148" s="67">
        <f>IF(ABS('800V Set-points'!$O22) &lt; _xlnm.Criteria,'800V Set-points'!$I22,0)</f>
        <v>0</v>
      </c>
    </row>
    <row r="149" spans="1:10" s="67" customFormat="1" x14ac:dyDescent="0.25">
      <c r="A149" s="67">
        <f>IF(ABS('800V Set-points'!$O23) &lt; _xlnm.Criteria,'800V Set-points'!$A23,0)</f>
        <v>0</v>
      </c>
      <c r="B149" s="67" t="s">
        <v>187</v>
      </c>
      <c r="C149" s="120">
        <f>IF(ABS('800V Set-points'!$O23) &lt; _xlnm.Criteria,'800V Set-points'!$B23,0)</f>
        <v>0</v>
      </c>
      <c r="D149" s="120">
        <f>IF(ABS('800V Set-points'!$O23) &lt; _xlnm.Criteria,'800V Set-points'!$C23,0)</f>
        <v>0</v>
      </c>
      <c r="E149" s="67">
        <f>IF(ABS('800V Set-points'!$O23) &lt; _xlnm.Criteria,'800V Set-points'!$E23,0)</f>
        <v>0</v>
      </c>
      <c r="F149" s="67">
        <f>IF(ABS('800V Set-points'!$O23) &lt; _xlnm.Criteria,'800V Set-points'!$F23,0)</f>
        <v>0</v>
      </c>
      <c r="G149" s="67">
        <f>IF(ABS('800V Set-points'!$O23) &lt; _xlnm.Criteria,'800V Set-points'!$D23,0)</f>
        <v>0</v>
      </c>
      <c r="H149" s="119">
        <f>IF(ABS('800V Set-points'!$O23) &lt; _xlnm.Criteria,'800V Set-points'!$J23,0)</f>
        <v>0</v>
      </c>
      <c r="I149" s="119">
        <f>IF(ABS('800V Set-points'!$O23) &lt; _xlnm.Criteria,'800V Set-points'!$K23,0)</f>
        <v>0</v>
      </c>
      <c r="J149" s="67">
        <f>IF(ABS('800V Set-points'!$O23) &lt; _xlnm.Criteria,'800V Set-points'!$I23,0)</f>
        <v>0</v>
      </c>
    </row>
    <row r="150" spans="1:10" s="67" customFormat="1" x14ac:dyDescent="0.25">
      <c r="A150" s="67">
        <f>IF(ABS('800V Set-points'!$O24) &lt; _xlnm.Criteria,'800V Set-points'!$A24,0)</f>
        <v>0</v>
      </c>
      <c r="B150" s="67" t="s">
        <v>187</v>
      </c>
      <c r="C150" s="120">
        <f>IF(ABS('800V Set-points'!$O24) &lt; _xlnm.Criteria,'800V Set-points'!$B24,0)</f>
        <v>0</v>
      </c>
      <c r="D150" s="120">
        <f>IF(ABS('800V Set-points'!$O24) &lt; _xlnm.Criteria,'800V Set-points'!$C24,0)</f>
        <v>0</v>
      </c>
      <c r="E150" s="67">
        <f>IF(ABS('800V Set-points'!$O24) &lt; _xlnm.Criteria,'800V Set-points'!$E24,0)</f>
        <v>0</v>
      </c>
      <c r="F150" s="67">
        <f>IF(ABS('800V Set-points'!$O24) &lt; _xlnm.Criteria,'800V Set-points'!$F24,0)</f>
        <v>0</v>
      </c>
      <c r="G150" s="67">
        <f>IF(ABS('800V Set-points'!$O24) &lt; _xlnm.Criteria,'800V Set-points'!$D24,0)</f>
        <v>0</v>
      </c>
      <c r="H150" s="119">
        <f>IF(ABS('800V Set-points'!$O24) &lt; _xlnm.Criteria,'800V Set-points'!$J24,0)</f>
        <v>0</v>
      </c>
      <c r="I150" s="119">
        <f>IF(ABS('800V Set-points'!$O24) &lt; _xlnm.Criteria,'800V Set-points'!$K24,0)</f>
        <v>0</v>
      </c>
      <c r="J150" s="67">
        <f>IF(ABS('800V Set-points'!$O24) &lt; _xlnm.Criteria,'800V Set-points'!$I24,0)</f>
        <v>0</v>
      </c>
    </row>
    <row r="151" spans="1:10" s="67" customFormat="1" x14ac:dyDescent="0.25">
      <c r="A151" s="67" t="str">
        <f>IF(ABS('800V Set-points'!$O25) &lt; _xlnm.Criteria,'800V Set-points'!$A25,0)</f>
        <v>48 HET 6342W</v>
      </c>
      <c r="B151" s="67" t="s">
        <v>187</v>
      </c>
      <c r="C151" s="120">
        <f>IF(ABS('800V Set-points'!$O25) &lt; _xlnm.Criteria,'800V Set-points'!$B25,0)</f>
        <v>304.416</v>
      </c>
      <c r="D151" s="120">
        <f>IF(ABS('800V Set-points'!$O25) &lt; _xlnm.Criteria,'800V Set-points'!$C25,0)</f>
        <v>25.368000000000002</v>
      </c>
      <c r="E151" s="67">
        <f>IF(ABS('800V Set-points'!$O25) &lt; _xlnm.Criteria,'800V Set-points'!$E25,0)</f>
        <v>0.57999999999999996</v>
      </c>
      <c r="F151" s="67">
        <f>IF(ABS('800V Set-points'!$O25) &lt; _xlnm.Criteria,'800V Set-points'!$F25,0)</f>
        <v>3152</v>
      </c>
      <c r="G151" s="67">
        <f>IF(ABS('800V Set-points'!$O25) &lt; _xlnm.Criteria,'800V Set-points'!$D25,0)</f>
        <v>11.423999999999999</v>
      </c>
      <c r="H151" s="119">
        <f>IF(ABS('800V Set-points'!$O25) &lt; _xlnm.Criteria,'800V Set-points'!$J25,0)</f>
        <v>23286</v>
      </c>
      <c r="I151" s="119">
        <f>IF(ABS('800V Set-points'!$O25) &lt; _xlnm.Criteria,'800V Set-points'!$K25,0)</f>
        <v>9940.1065578907983</v>
      </c>
      <c r="J151" s="67">
        <f>IF(ABS('800V Set-points'!$O25) &lt; _xlnm.Criteria,'800V Set-points'!$I25,0)</f>
        <v>12000</v>
      </c>
    </row>
    <row r="152" spans="1:10" s="67" customFormat="1" x14ac:dyDescent="0.25">
      <c r="A152" s="67" t="str">
        <f>IF(ABS('800V Set-points'!$O26) &lt; _xlnm.Criteria,'800V Set-points'!$A26,0)</f>
        <v>48 HET 6342W</v>
      </c>
      <c r="B152" s="67" t="s">
        <v>187</v>
      </c>
      <c r="C152" s="120">
        <f>IF(ABS('800V Set-points'!$O26) &lt; _xlnm.Criteria,'800V Set-points'!$B26,0)</f>
        <v>304.416</v>
      </c>
      <c r="D152" s="120">
        <f>IF(ABS('800V Set-points'!$O26) &lt; _xlnm.Criteria,'800V Set-points'!$C26,0)</f>
        <v>25.368000000000002</v>
      </c>
      <c r="E152" s="67">
        <f>IF(ABS('800V Set-points'!$O26) &lt; _xlnm.Criteria,'800V Set-points'!$E26,0)</f>
        <v>0.57999999999999996</v>
      </c>
      <c r="F152" s="67">
        <f>IF(ABS('800V Set-points'!$O26) &lt; _xlnm.Criteria,'800V Set-points'!$F26,0)</f>
        <v>3152</v>
      </c>
      <c r="G152" s="67">
        <f>IF(ABS('800V Set-points'!$O26) &lt; _xlnm.Criteria,'800V Set-points'!$D26,0)</f>
        <v>11.423999999999999</v>
      </c>
      <c r="H152" s="119">
        <f>IF(ABS('800V Set-points'!$O26) &lt; _xlnm.Criteria,'800V Set-points'!$J26,0)</f>
        <v>27286</v>
      </c>
      <c r="I152" s="119">
        <f>IF(ABS('800V Set-points'!$O26) &lt; _xlnm.Criteria,'800V Set-points'!$K26,0)</f>
        <v>11976.596325948736</v>
      </c>
      <c r="J152" s="67">
        <f>IF(ABS('800V Set-points'!$O26) &lt; _xlnm.Criteria,'800V Set-points'!$I26,0)</f>
        <v>16000</v>
      </c>
    </row>
    <row r="153" spans="1:10" s="67" customFormat="1" x14ac:dyDescent="0.25">
      <c r="A153" s="67">
        <f>IF(ABS('800V Set-points'!$O27) &lt; _xlnm.Criteria,'800V Set-points'!$A27,0)</f>
        <v>0</v>
      </c>
      <c r="B153" s="67" t="s">
        <v>187</v>
      </c>
      <c r="C153" s="120">
        <f>IF(ABS('800V Set-points'!$O27) &lt; _xlnm.Criteria,'800V Set-points'!$B27,0)</f>
        <v>0</v>
      </c>
      <c r="D153" s="120">
        <f>IF(ABS('800V Set-points'!$O27) &lt; _xlnm.Criteria,'800V Set-points'!$C27,0)</f>
        <v>0</v>
      </c>
      <c r="E153" s="67">
        <f>IF(ABS('800V Set-points'!$O27) &lt; _xlnm.Criteria,'800V Set-points'!$E27,0)</f>
        <v>0</v>
      </c>
      <c r="F153" s="67">
        <f>IF(ABS('800V Set-points'!$O27) &lt; _xlnm.Criteria,'800V Set-points'!$F27,0)</f>
        <v>0</v>
      </c>
      <c r="G153" s="67">
        <f>IF(ABS('800V Set-points'!$O27) &lt; _xlnm.Criteria,'800V Set-points'!$D27,0)</f>
        <v>0</v>
      </c>
      <c r="H153" s="119">
        <f>IF(ABS('800V Set-points'!$O27) &lt; _xlnm.Criteria,'800V Set-points'!$J27,0)</f>
        <v>0</v>
      </c>
      <c r="I153" s="119">
        <f>IF(ABS('800V Set-points'!$O27) &lt; _xlnm.Criteria,'800V Set-points'!$K27,0)</f>
        <v>0</v>
      </c>
      <c r="J153" s="67">
        <f>IF(ABS('800V Set-points'!$O27) &lt; _xlnm.Criteria,'800V Set-points'!$I27,0)</f>
        <v>0</v>
      </c>
    </row>
    <row r="154" spans="1:10" s="67" customFormat="1" x14ac:dyDescent="0.25">
      <c r="A154" s="67">
        <f>IF(ABS('800V Set-points'!$O28) &lt; _xlnm.Criteria,'800V Set-points'!$A28,0)</f>
        <v>0</v>
      </c>
      <c r="B154" s="67" t="s">
        <v>187</v>
      </c>
      <c r="C154" s="120">
        <f>IF(ABS('800V Set-points'!$O28) &lt; _xlnm.Criteria,'800V Set-points'!$B28,0)</f>
        <v>0</v>
      </c>
      <c r="D154" s="120">
        <f>IF(ABS('800V Set-points'!$O28) &lt; _xlnm.Criteria,'800V Set-points'!$C28,0)</f>
        <v>0</v>
      </c>
      <c r="E154" s="67">
        <f>IF(ABS('800V Set-points'!$O28) &lt; _xlnm.Criteria,'800V Set-points'!$E28,0)</f>
        <v>0</v>
      </c>
      <c r="F154" s="67">
        <f>IF(ABS('800V Set-points'!$O28) &lt; _xlnm.Criteria,'800V Set-points'!$F28,0)</f>
        <v>0</v>
      </c>
      <c r="G154" s="67">
        <f>IF(ABS('800V Set-points'!$O28) &lt; _xlnm.Criteria,'800V Set-points'!$D28,0)</f>
        <v>0</v>
      </c>
      <c r="H154" s="119">
        <f>IF(ABS('800V Set-points'!$O28) &lt; _xlnm.Criteria,'800V Set-points'!$J28,0)</f>
        <v>0</v>
      </c>
      <c r="I154" s="119">
        <f>IF(ABS('800V Set-points'!$O28) &lt; _xlnm.Criteria,'800V Set-points'!$K28,0)</f>
        <v>0</v>
      </c>
      <c r="J154" s="67">
        <f>IF(ABS('800V Set-points'!$O28) &lt; _xlnm.Criteria,'800V Set-points'!$I28,0)</f>
        <v>0</v>
      </c>
    </row>
    <row r="155" spans="1:10" s="67" customFormat="1" x14ac:dyDescent="0.25">
      <c r="A155" s="67">
        <f>IF(ABS('800V Set-points'!$O29) &lt; _xlnm.Criteria,'800V Set-points'!$A29,0)</f>
        <v>0</v>
      </c>
      <c r="B155" s="67" t="s">
        <v>187</v>
      </c>
      <c r="C155" s="120">
        <f>IF(ABS('800V Set-points'!$O29) &lt; _xlnm.Criteria,'800V Set-points'!$B29,0)</f>
        <v>0</v>
      </c>
      <c r="D155" s="120">
        <f>IF(ABS('800V Set-points'!$O29) &lt; _xlnm.Criteria,'800V Set-points'!$C29,0)</f>
        <v>0</v>
      </c>
      <c r="E155" s="67">
        <f>IF(ABS('800V Set-points'!$O29) &lt; _xlnm.Criteria,'800V Set-points'!$E29,0)</f>
        <v>0</v>
      </c>
      <c r="F155" s="67">
        <f>IF(ABS('800V Set-points'!$O29) &lt; _xlnm.Criteria,'800V Set-points'!$F29,0)</f>
        <v>0</v>
      </c>
      <c r="G155" s="67">
        <f>IF(ABS('800V Set-points'!$O29) &lt; _xlnm.Criteria,'800V Set-points'!$D29,0)</f>
        <v>0</v>
      </c>
      <c r="H155" s="119">
        <f>IF(ABS('800V Set-points'!$O29) &lt; _xlnm.Criteria,'800V Set-points'!$J29,0)</f>
        <v>0</v>
      </c>
      <c r="I155" s="119">
        <f>IF(ABS('800V Set-points'!$O29) &lt; _xlnm.Criteria,'800V Set-points'!$K29,0)</f>
        <v>0</v>
      </c>
      <c r="J155" s="67">
        <f>IF(ABS('800V Set-points'!$O29) &lt; _xlnm.Criteria,'800V Set-points'!$I29,0)</f>
        <v>0</v>
      </c>
    </row>
    <row r="156" spans="1:10" s="67" customFormat="1" x14ac:dyDescent="0.25">
      <c r="A156" s="67" t="str">
        <f>IF(ABS('800V Set-points'!$O30) &lt; _xlnm.Criteria,'800V Set-points'!$A30,0)</f>
        <v>48 HET 8047W</v>
      </c>
      <c r="B156" s="67" t="s">
        <v>187</v>
      </c>
      <c r="C156" s="120">
        <f>IF(ABS('800V Set-points'!$O30) &lt; _xlnm.Criteria,'800V Set-points'!$B30,0)</f>
        <v>386.25600000000003</v>
      </c>
      <c r="D156" s="120">
        <f>IF(ABS('800V Set-points'!$O30) &lt; _xlnm.Criteria,'800V Set-points'!$C30,0)</f>
        <v>32.188000000000002</v>
      </c>
      <c r="E156" s="67">
        <f>IF(ABS('800V Set-points'!$O30) &lt; _xlnm.Criteria,'800V Set-points'!$E30,0)</f>
        <v>0.60699999999999998</v>
      </c>
      <c r="F156" s="67">
        <f>IF(ABS('800V Set-points'!$O30) &lt; _xlnm.Criteria,'800V Set-points'!$F30,0)</f>
        <v>3068</v>
      </c>
      <c r="G156" s="67">
        <f>IF(ABS('800V Set-points'!$O30) &lt; _xlnm.Criteria,'800V Set-points'!$D30,0)</f>
        <v>15.600000000000001</v>
      </c>
      <c r="H156" s="119">
        <f>IF(ABS('800V Set-points'!$O30) &lt; _xlnm.Criteria,'800V Set-points'!$J30,0)</f>
        <v>30346</v>
      </c>
      <c r="I156" s="119">
        <f>IF(ABS('800V Set-points'!$O30) &lt; _xlnm.Criteria,'800V Set-points'!$K30,0)</f>
        <v>13401.04087223267</v>
      </c>
      <c r="J156" s="67">
        <f>IF(ABS('800V Set-points'!$O30) &lt; _xlnm.Criteria,'800V Set-points'!$I30,0)</f>
        <v>16000</v>
      </c>
    </row>
    <row r="157" spans="1:10" s="67" customFormat="1" x14ac:dyDescent="0.25">
      <c r="A157" s="67" t="str">
        <f>IF(ABS('800V Set-points'!$O31) &lt; _xlnm.Criteria,'800V Set-points'!$A31,0)</f>
        <v>48 HET 8047W</v>
      </c>
      <c r="B157" s="67" t="s">
        <v>187</v>
      </c>
      <c r="C157" s="120">
        <f>IF(ABS('800V Set-points'!$O31) &lt; _xlnm.Criteria,'800V Set-points'!$B31,0)</f>
        <v>386.25600000000003</v>
      </c>
      <c r="D157" s="120">
        <f>IF(ABS('800V Set-points'!$O31) &lt; _xlnm.Criteria,'800V Set-points'!$C31,0)</f>
        <v>32.188000000000002</v>
      </c>
      <c r="E157" s="67">
        <f>IF(ABS('800V Set-points'!$O31) &lt; _xlnm.Criteria,'800V Set-points'!$E31,0)</f>
        <v>0.60699999999999998</v>
      </c>
      <c r="F157" s="67">
        <f>IF(ABS('800V Set-points'!$O31) &lt; _xlnm.Criteria,'800V Set-points'!$F31,0)</f>
        <v>3068</v>
      </c>
      <c r="G157" s="67">
        <f>IF(ABS('800V Set-points'!$O31) &lt; _xlnm.Criteria,'800V Set-points'!$D31,0)</f>
        <v>15.600000000000001</v>
      </c>
      <c r="H157" s="119">
        <f>IF(ABS('800V Set-points'!$O31) &lt; _xlnm.Criteria,'800V Set-points'!$J31,0)</f>
        <v>38346</v>
      </c>
      <c r="I157" s="119">
        <f>IF(ABS('800V Set-points'!$O31) &lt; _xlnm.Criteria,'800V Set-points'!$K31,0)</f>
        <v>17594.763567345381</v>
      </c>
      <c r="J157" s="67">
        <f>IF(ABS('800V Set-points'!$O31) &lt; _xlnm.Criteria,'800V Set-points'!$I31,0)</f>
        <v>24000</v>
      </c>
    </row>
    <row r="158" spans="1:10" s="67" customFormat="1" x14ac:dyDescent="0.25">
      <c r="A158" s="67" t="str">
        <f>IF(ABS('800V Set-points'!$O32) &lt; _xlnm.Criteria,'800V Set-points'!$A32,0)</f>
        <v>64 HET 4563W</v>
      </c>
      <c r="B158" s="67" t="s">
        <v>187</v>
      </c>
      <c r="C158" s="120">
        <f>IF(ABS('800V Set-points'!$O32) &lt; _xlnm.Criteria,'800V Set-points'!$B32,0)</f>
        <v>292.03199999999998</v>
      </c>
      <c r="D158" s="120">
        <f>IF(ABS('800V Set-points'!$O32) &lt; _xlnm.Criteria,'800V Set-points'!$C32,0)</f>
        <v>18.251999999999999</v>
      </c>
      <c r="E158" s="67">
        <f>IF(ABS('800V Set-points'!$O32) &lt; _xlnm.Criteria,'800V Set-points'!$E32,0)</f>
        <v>0.59199999999999997</v>
      </c>
      <c r="F158" s="67">
        <f>IF(ABS('800V Set-points'!$O32) &lt; _xlnm.Criteria,'800V Set-points'!$F32,0)</f>
        <v>3203</v>
      </c>
      <c r="G158" s="67">
        <f>IF(ABS('800V Set-points'!$O32) &lt; _xlnm.Criteria,'800V Set-points'!$D32,0)</f>
        <v>11.007999999999999</v>
      </c>
      <c r="H158" s="119">
        <f>IF(ABS('800V Set-points'!$O32) &lt; _xlnm.Criteria,'800V Set-points'!$J32,0)</f>
        <v>24326</v>
      </c>
      <c r="I158" s="119">
        <f>IF(ABS('800V Set-points'!$O32) &lt; _xlnm.Criteria,'800V Set-points'!$K32,0)</f>
        <v>10116.24547054482</v>
      </c>
      <c r="J158" s="67">
        <f>IF(ABS('800V Set-points'!$O32) &lt; _xlnm.Criteria,'800V Set-points'!$I32,0)</f>
        <v>12000</v>
      </c>
    </row>
    <row r="159" spans="1:10" s="67" customFormat="1" x14ac:dyDescent="0.25">
      <c r="A159" s="67" t="str">
        <f>IF(ABS('800V Set-points'!$O33) &lt; _xlnm.Criteria,'800V Set-points'!$A33,0)</f>
        <v>64 HET 4563W</v>
      </c>
      <c r="B159" s="67" t="s">
        <v>187</v>
      </c>
      <c r="C159" s="120">
        <f>IF(ABS('800V Set-points'!$O33) &lt; _xlnm.Criteria,'800V Set-points'!$B33,0)</f>
        <v>292.03199999999998</v>
      </c>
      <c r="D159" s="120">
        <f>IF(ABS('800V Set-points'!$O33) &lt; _xlnm.Criteria,'800V Set-points'!$C33,0)</f>
        <v>18.251999999999999</v>
      </c>
      <c r="E159" s="67">
        <f>IF(ABS('800V Set-points'!$O33) &lt; _xlnm.Criteria,'800V Set-points'!$E33,0)</f>
        <v>0.59199999999999997</v>
      </c>
      <c r="F159" s="67">
        <f>IF(ABS('800V Set-points'!$O33) &lt; _xlnm.Criteria,'800V Set-points'!$F33,0)</f>
        <v>3203</v>
      </c>
      <c r="G159" s="67">
        <f>IF(ABS('800V Set-points'!$O33) &lt; _xlnm.Criteria,'800V Set-points'!$D33,0)</f>
        <v>11.007999999999999</v>
      </c>
      <c r="H159" s="119">
        <f>IF(ABS('800V Set-points'!$O33) &lt; _xlnm.Criteria,'800V Set-points'!$J33,0)</f>
        <v>28326</v>
      </c>
      <c r="I159" s="119">
        <f>IF(ABS('800V Set-points'!$O33) &lt; _xlnm.Criteria,'800V Set-points'!$K33,0)</f>
        <v>12117.744937117033</v>
      </c>
      <c r="J159" s="67">
        <f>IF(ABS('800V Set-points'!$O33) &lt; _xlnm.Criteria,'800V Set-points'!$I33,0)</f>
        <v>16000</v>
      </c>
    </row>
    <row r="160" spans="1:10" s="67" customFormat="1" x14ac:dyDescent="0.25">
      <c r="A160" s="67">
        <f>IF(ABS('800V Set-points'!$O34) &lt; _xlnm.Criteria,'800V Set-points'!$A34,0)</f>
        <v>0</v>
      </c>
      <c r="B160" s="67" t="s">
        <v>187</v>
      </c>
      <c r="C160" s="120">
        <f>IF(ABS('800V Set-points'!$O34) &lt; _xlnm.Criteria,'800V Set-points'!$B34,0)</f>
        <v>0</v>
      </c>
      <c r="D160" s="120">
        <f>IF(ABS('800V Set-points'!$O34) &lt; _xlnm.Criteria,'800V Set-points'!$C34,0)</f>
        <v>0</v>
      </c>
      <c r="E160" s="67">
        <f>IF(ABS('800V Set-points'!$O34) &lt; _xlnm.Criteria,'800V Set-points'!$E34,0)</f>
        <v>0</v>
      </c>
      <c r="F160" s="67">
        <f>IF(ABS('800V Set-points'!$O34) &lt; _xlnm.Criteria,'800V Set-points'!$F34,0)</f>
        <v>0</v>
      </c>
      <c r="G160" s="67">
        <f>IF(ABS('800V Set-points'!$O34) &lt; _xlnm.Criteria,'800V Set-points'!$D34,0)</f>
        <v>0</v>
      </c>
      <c r="H160" s="119">
        <f>IF(ABS('800V Set-points'!$O34) &lt; _xlnm.Criteria,'800V Set-points'!$J34,0)</f>
        <v>0</v>
      </c>
      <c r="I160" s="119">
        <f>IF(ABS('800V Set-points'!$O34) &lt; _xlnm.Criteria,'800V Set-points'!$K34,0)</f>
        <v>0</v>
      </c>
      <c r="J160" s="67">
        <f>IF(ABS('800V Set-points'!$O34) &lt; _xlnm.Criteria,'800V Set-points'!$I34,0)</f>
        <v>0</v>
      </c>
    </row>
    <row r="161" spans="1:10" s="67" customFormat="1" x14ac:dyDescent="0.25">
      <c r="A161" s="67">
        <f>IF(ABS('800V Set-points'!$O35) &lt; _xlnm.Criteria,'800V Set-points'!$A35,0)</f>
        <v>0</v>
      </c>
      <c r="B161" s="67" t="s">
        <v>187</v>
      </c>
      <c r="C161" s="120">
        <f>IF(ABS('800V Set-points'!$O35) &lt; _xlnm.Criteria,'800V Set-points'!$B35,0)</f>
        <v>0</v>
      </c>
      <c r="D161" s="120">
        <f>IF(ABS('800V Set-points'!$O35) &lt; _xlnm.Criteria,'800V Set-points'!$C35,0)</f>
        <v>0</v>
      </c>
      <c r="E161" s="67">
        <f>IF(ABS('800V Set-points'!$O35) &lt; _xlnm.Criteria,'800V Set-points'!$E35,0)</f>
        <v>0</v>
      </c>
      <c r="F161" s="67">
        <f>IF(ABS('800V Set-points'!$O35) &lt; _xlnm.Criteria,'800V Set-points'!$F35,0)</f>
        <v>0</v>
      </c>
      <c r="G161" s="67">
        <f>IF(ABS('800V Set-points'!$O35) &lt; _xlnm.Criteria,'800V Set-points'!$D35,0)</f>
        <v>0</v>
      </c>
      <c r="H161" s="119">
        <f>IF(ABS('800V Set-points'!$O35) &lt; _xlnm.Criteria,'800V Set-points'!$J35,0)</f>
        <v>0</v>
      </c>
      <c r="I161" s="119">
        <f>IF(ABS('800V Set-points'!$O35) &lt; _xlnm.Criteria,'800V Set-points'!$K35,0)</f>
        <v>0</v>
      </c>
      <c r="J161" s="67">
        <f>IF(ABS('800V Set-points'!$O35) &lt; _xlnm.Criteria,'800V Set-points'!$I35,0)</f>
        <v>0</v>
      </c>
    </row>
    <row r="162" spans="1:10" s="67" customFormat="1" x14ac:dyDescent="0.25">
      <c r="A162" s="67">
        <f>IF(ABS('800V Set-points'!$O36) &lt; _xlnm.Criteria,'800V Set-points'!$A36,0)</f>
        <v>0</v>
      </c>
      <c r="B162" s="67" t="s">
        <v>187</v>
      </c>
      <c r="C162" s="120">
        <f>IF(ABS('800V Set-points'!$O36) &lt; _xlnm.Criteria,'800V Set-points'!$B36,0)</f>
        <v>0</v>
      </c>
      <c r="D162" s="120">
        <f>IF(ABS('800V Set-points'!$O36) &lt; _xlnm.Criteria,'800V Set-points'!$C36,0)</f>
        <v>0</v>
      </c>
      <c r="E162" s="67">
        <f>IF(ABS('800V Set-points'!$O36) &lt; _xlnm.Criteria,'800V Set-points'!$E36,0)</f>
        <v>0</v>
      </c>
      <c r="F162" s="67">
        <f>IF(ABS('800V Set-points'!$O36) &lt; _xlnm.Criteria,'800V Set-points'!$F36,0)</f>
        <v>0</v>
      </c>
      <c r="G162" s="67">
        <f>IF(ABS('800V Set-points'!$O36) &lt; _xlnm.Criteria,'800V Set-points'!$D36,0)</f>
        <v>0</v>
      </c>
      <c r="H162" s="119">
        <f>IF(ABS('800V Set-points'!$O36) &lt; _xlnm.Criteria,'800V Set-points'!$J36,0)</f>
        <v>0</v>
      </c>
      <c r="I162" s="119">
        <f>IF(ABS('800V Set-points'!$O36) &lt; _xlnm.Criteria,'800V Set-points'!$K36,0)</f>
        <v>0</v>
      </c>
      <c r="J162" s="67">
        <f>IF(ABS('800V Set-points'!$O36) &lt; _xlnm.Criteria,'800V Set-points'!$I36,0)</f>
        <v>0</v>
      </c>
    </row>
    <row r="163" spans="1:10" s="67" customFormat="1" x14ac:dyDescent="0.25">
      <c r="A163" s="67" t="str">
        <f>IF(ABS('800V Set-points'!$O37) &lt; _xlnm.Criteria,'800V Set-points'!$A37,0)</f>
        <v>64 HET 6342W</v>
      </c>
      <c r="B163" s="67" t="s">
        <v>187</v>
      </c>
      <c r="C163" s="120">
        <f>IF(ABS('800V Set-points'!$O37) &lt; _xlnm.Criteria,'800V Set-points'!$B37,0)</f>
        <v>405.88800000000003</v>
      </c>
      <c r="D163" s="120">
        <f>IF(ABS('800V Set-points'!$O37) &lt; _xlnm.Criteria,'800V Set-points'!$C37,0)</f>
        <v>25.368000000000002</v>
      </c>
      <c r="E163" s="67">
        <f>IF(ABS('800V Set-points'!$O37) &lt; _xlnm.Criteria,'800V Set-points'!$E37,0)</f>
        <v>0.57999999999999996</v>
      </c>
      <c r="F163" s="67">
        <f>IF(ABS('800V Set-points'!$O37) &lt; _xlnm.Criteria,'800V Set-points'!$F37,0)</f>
        <v>3152</v>
      </c>
      <c r="G163" s="67">
        <f>IF(ABS('800V Set-points'!$O37) &lt; _xlnm.Criteria,'800V Set-points'!$D37,0)</f>
        <v>15.231999999999999</v>
      </c>
      <c r="H163" s="119">
        <f>IF(ABS('800V Set-points'!$O37) &lt; _xlnm.Criteria,'800V Set-points'!$J37,0)</f>
        <v>32265</v>
      </c>
      <c r="I163" s="119">
        <f>IF(ABS('800V Set-points'!$O37) &lt; _xlnm.Criteria,'800V Set-points'!$K37,0)</f>
        <v>13666.543418475483</v>
      </c>
      <c r="J163" s="67">
        <f>IF(ABS('800V Set-points'!$O37) &lt; _xlnm.Criteria,'800V Set-points'!$I37,0)</f>
        <v>16000</v>
      </c>
    </row>
    <row r="164" spans="1:10" s="67" customFormat="1" x14ac:dyDescent="0.25">
      <c r="A164" s="67" t="str">
        <f>IF(ABS('800V Set-points'!$O38) &lt; _xlnm.Criteria,'800V Set-points'!$A38,0)</f>
        <v>64 HET 6342W</v>
      </c>
      <c r="B164" s="67" t="s">
        <v>187</v>
      </c>
      <c r="C164" s="120">
        <f>IF(ABS('800V Set-points'!$O38) &lt; _xlnm.Criteria,'800V Set-points'!$B38,0)</f>
        <v>405.88800000000003</v>
      </c>
      <c r="D164" s="120">
        <f>IF(ABS('800V Set-points'!$O38) &lt; _xlnm.Criteria,'800V Set-points'!$C38,0)</f>
        <v>25.368000000000002</v>
      </c>
      <c r="E164" s="67">
        <f>IF(ABS('800V Set-points'!$O38) &lt; _xlnm.Criteria,'800V Set-points'!$E38,0)</f>
        <v>0.57999999999999996</v>
      </c>
      <c r="F164" s="67">
        <f>IF(ABS('800V Set-points'!$O38) &lt; _xlnm.Criteria,'800V Set-points'!$F38,0)</f>
        <v>3152</v>
      </c>
      <c r="G164" s="67">
        <f>IF(ABS('800V Set-points'!$O38) &lt; _xlnm.Criteria,'800V Set-points'!$D38,0)</f>
        <v>15.231999999999999</v>
      </c>
      <c r="H164" s="119">
        <f>IF(ABS('800V Set-points'!$O38) &lt; _xlnm.Criteria,'800V Set-points'!$J38,0)</f>
        <v>40265</v>
      </c>
      <c r="I164" s="119">
        <f>IF(ABS('800V Set-points'!$O38) &lt; _xlnm.Criteria,'800V Set-points'!$K38,0)</f>
        <v>17739.522954591361</v>
      </c>
      <c r="J164" s="67">
        <f>IF(ABS('800V Set-points'!$O38) &lt; _xlnm.Criteria,'800V Set-points'!$I38,0)</f>
        <v>24000</v>
      </c>
    </row>
    <row r="165" spans="1:10" s="67" customFormat="1" x14ac:dyDescent="0.25">
      <c r="A165" s="67">
        <f>IF(ABS('800V Set-points'!$O39) &lt; _xlnm.Criteria,'800V Set-points'!$A39,0)</f>
        <v>0</v>
      </c>
      <c r="B165" s="67" t="s">
        <v>187</v>
      </c>
      <c r="C165" s="120">
        <f>IF(ABS('800V Set-points'!$O39) &lt; _xlnm.Criteria,'800V Set-points'!$B39,0)</f>
        <v>0</v>
      </c>
      <c r="D165" s="120">
        <f>IF(ABS('800V Set-points'!$O39) &lt; _xlnm.Criteria,'800V Set-points'!$C39,0)</f>
        <v>0</v>
      </c>
      <c r="E165" s="67">
        <f>IF(ABS('800V Set-points'!$O39) &lt; _xlnm.Criteria,'800V Set-points'!$E39,0)</f>
        <v>0</v>
      </c>
      <c r="F165" s="67">
        <f>IF(ABS('800V Set-points'!$O39) &lt; _xlnm.Criteria,'800V Set-points'!$F39,0)</f>
        <v>0</v>
      </c>
      <c r="G165" s="67">
        <f>IF(ABS('800V Set-points'!$O39) &lt; _xlnm.Criteria,'800V Set-points'!$D39,0)</f>
        <v>0</v>
      </c>
      <c r="H165" s="119">
        <f>IF(ABS('800V Set-points'!$O39) &lt; _xlnm.Criteria,'800V Set-points'!$J39,0)</f>
        <v>0</v>
      </c>
      <c r="I165" s="119">
        <f>IF(ABS('800V Set-points'!$O39) &lt; _xlnm.Criteria,'800V Set-points'!$K39,0)</f>
        <v>0</v>
      </c>
      <c r="J165" s="67">
        <f>IF(ABS('800V Set-points'!$O39) &lt; _xlnm.Criteria,'800V Set-points'!$I39,0)</f>
        <v>0</v>
      </c>
    </row>
    <row r="166" spans="1:10" s="67" customFormat="1" x14ac:dyDescent="0.25">
      <c r="A166" s="67">
        <f>IF(ABS('800V Set-points'!$O40) &lt; _xlnm.Criteria,'800V Set-points'!$A40,0)</f>
        <v>0</v>
      </c>
      <c r="B166" s="67" t="s">
        <v>187</v>
      </c>
      <c r="C166" s="120">
        <f>IF(ABS('800V Set-points'!$O40) &lt; _xlnm.Criteria,'800V Set-points'!$B40,0)</f>
        <v>0</v>
      </c>
      <c r="D166" s="120">
        <f>IF(ABS('800V Set-points'!$O40) &lt; _xlnm.Criteria,'800V Set-points'!$C40,0)</f>
        <v>0</v>
      </c>
      <c r="E166" s="67">
        <f>IF(ABS('800V Set-points'!$O40) &lt; _xlnm.Criteria,'800V Set-points'!$E40,0)</f>
        <v>0</v>
      </c>
      <c r="F166" s="67">
        <f>IF(ABS('800V Set-points'!$O40) &lt; _xlnm.Criteria,'800V Set-points'!$F40,0)</f>
        <v>0</v>
      </c>
      <c r="G166" s="67">
        <f>IF(ABS('800V Set-points'!$O40) &lt; _xlnm.Criteria,'800V Set-points'!$D40,0)</f>
        <v>0</v>
      </c>
      <c r="H166" s="119">
        <f>IF(ABS('800V Set-points'!$O40) &lt; _xlnm.Criteria,'800V Set-points'!$J40,0)</f>
        <v>0</v>
      </c>
      <c r="I166" s="119">
        <f>IF(ABS('800V Set-points'!$O40) &lt; _xlnm.Criteria,'800V Set-points'!$K40,0)</f>
        <v>0</v>
      </c>
      <c r="J166" s="67">
        <f>IF(ABS('800V Set-points'!$O40) &lt; _xlnm.Criteria,'800V Set-points'!$I40,0)</f>
        <v>0</v>
      </c>
    </row>
    <row r="167" spans="1:10" s="67" customFormat="1" x14ac:dyDescent="0.25">
      <c r="A167" s="67">
        <f>IF(ABS('800V Set-points'!$O41) &lt; _xlnm.Criteria,'800V Set-points'!$A41,0)</f>
        <v>0</v>
      </c>
      <c r="B167" s="67" t="s">
        <v>187</v>
      </c>
      <c r="C167" s="120">
        <f>IF(ABS('800V Set-points'!$O41) &lt; _xlnm.Criteria,'800V Set-points'!$B41,0)</f>
        <v>0</v>
      </c>
      <c r="D167" s="120">
        <f>IF(ABS('800V Set-points'!$O41) &lt; _xlnm.Criteria,'800V Set-points'!$C41,0)</f>
        <v>0</v>
      </c>
      <c r="E167" s="67">
        <f>IF(ABS('800V Set-points'!$O41) &lt; _xlnm.Criteria,'800V Set-points'!$E41,0)</f>
        <v>0</v>
      </c>
      <c r="F167" s="67">
        <f>IF(ABS('800V Set-points'!$O41) &lt; _xlnm.Criteria,'800V Set-points'!$F41,0)</f>
        <v>0</v>
      </c>
      <c r="G167" s="67">
        <f>IF(ABS('800V Set-points'!$O41) &lt; _xlnm.Criteria,'800V Set-points'!$D41,0)</f>
        <v>0</v>
      </c>
      <c r="H167" s="119">
        <f>IF(ABS('800V Set-points'!$O41) &lt; _xlnm.Criteria,'800V Set-points'!$J41,0)</f>
        <v>0</v>
      </c>
      <c r="I167" s="119">
        <f>IF(ABS('800V Set-points'!$O41) &lt; _xlnm.Criteria,'800V Set-points'!$K41,0)</f>
        <v>0</v>
      </c>
      <c r="J167" s="67">
        <f>IF(ABS('800V Set-points'!$O41) &lt; _xlnm.Criteria,'800V Set-points'!$I41,0)</f>
        <v>0</v>
      </c>
    </row>
    <row r="168" spans="1:10" s="67" customFormat="1" x14ac:dyDescent="0.25">
      <c r="A168" s="67" t="str">
        <f>IF(ABS('800V Set-points'!$O42) &lt; _xlnm.Criteria,'800V Set-points'!$A42,0)</f>
        <v>64 HET 8047W</v>
      </c>
      <c r="B168" s="67" t="s">
        <v>187</v>
      </c>
      <c r="C168" s="120">
        <f>IF(ABS('800V Set-points'!$O42) &lt; _xlnm.Criteria,'800V Set-points'!$B42,0)</f>
        <v>515.00800000000004</v>
      </c>
      <c r="D168" s="120">
        <f>IF(ABS('800V Set-points'!$O42) &lt; _xlnm.Criteria,'800V Set-points'!$C42,0)</f>
        <v>32.188000000000002</v>
      </c>
      <c r="E168" s="67">
        <f>IF(ABS('800V Set-points'!$O42) &lt; _xlnm.Criteria,'800V Set-points'!$E42,0)</f>
        <v>0.60699999999999998</v>
      </c>
      <c r="F168" s="67">
        <f>IF(ABS('800V Set-points'!$O42) &lt; _xlnm.Criteria,'800V Set-points'!$F42,0)</f>
        <v>3068</v>
      </c>
      <c r="G168" s="67">
        <f>IF(ABS('800V Set-points'!$O42) &lt; _xlnm.Criteria,'800V Set-points'!$D42,0)</f>
        <v>20.8</v>
      </c>
      <c r="H168" s="119">
        <f>IF(ABS('800V Set-points'!$O42) &lt; _xlnm.Criteria,'800V Set-points'!$J42,0)</f>
        <v>45015</v>
      </c>
      <c r="I168" s="119">
        <f>IF(ABS('800V Set-points'!$O42) &lt; _xlnm.Criteria,'800V Set-points'!$K42,0)</f>
        <v>19925.424955154271</v>
      </c>
      <c r="J168" s="67">
        <f>IF(ABS('800V Set-points'!$O42) &lt; _xlnm.Criteria,'800V Set-points'!$I42,0)</f>
        <v>24000</v>
      </c>
    </row>
    <row r="169" spans="1:10" s="67" customFormat="1" x14ac:dyDescent="0.25">
      <c r="A169" s="67" t="str">
        <f>IF(ABS('800V Set-points'!$O43) &lt; _xlnm.Criteria,'800V Set-points'!$A43,0)</f>
        <v>64 HET 8047W</v>
      </c>
      <c r="B169" s="67" t="s">
        <v>187</v>
      </c>
      <c r="C169" s="120">
        <f>IF(ABS('800V Set-points'!$O43) &lt; _xlnm.Criteria,'800V Set-points'!$B43,0)</f>
        <v>515.00800000000004</v>
      </c>
      <c r="D169" s="120">
        <f>IF(ABS('800V Set-points'!$O43) &lt; _xlnm.Criteria,'800V Set-points'!$C43,0)</f>
        <v>32.188000000000002</v>
      </c>
      <c r="E169" s="67">
        <f>IF(ABS('800V Set-points'!$O43) &lt; _xlnm.Criteria,'800V Set-points'!$E43,0)</f>
        <v>0.60699999999999998</v>
      </c>
      <c r="F169" s="67">
        <f>IF(ABS('800V Set-points'!$O43) &lt; _xlnm.Criteria,'800V Set-points'!$F43,0)</f>
        <v>3068</v>
      </c>
      <c r="G169" s="67">
        <f>IF(ABS('800V Set-points'!$O43) &lt; _xlnm.Criteria,'800V Set-points'!$D43,0)</f>
        <v>20.8</v>
      </c>
      <c r="H169" s="119">
        <f>IF(ABS('800V Set-points'!$O43) &lt; _xlnm.Criteria,'800V Set-points'!$J43,0)</f>
        <v>57015</v>
      </c>
      <c r="I169" s="119">
        <f>IF(ABS('800V Set-points'!$O43) &lt; _xlnm.Criteria,'800V Set-points'!$K43,0)</f>
        <v>26216.008997823337</v>
      </c>
      <c r="J169" s="67">
        <f>IF(ABS('800V Set-points'!$O43) &lt; _xlnm.Criteria,'800V Set-points'!$I43,0)</f>
        <v>36000</v>
      </c>
    </row>
    <row r="170" spans="1:10" s="67" customFormat="1" x14ac:dyDescent="0.25">
      <c r="A170" s="67">
        <f>IF(ABS('800V Set-points'!$O44) &lt; _xlnm.Criteria,'800V Set-points'!$A44,0)</f>
        <v>0</v>
      </c>
      <c r="B170" s="67" t="s">
        <v>187</v>
      </c>
      <c r="C170" s="120">
        <f>IF(ABS('800V Set-points'!$O44) &lt; _xlnm.Criteria,'800V Set-points'!$B44,0)</f>
        <v>0</v>
      </c>
      <c r="D170" s="120">
        <f>IF(ABS('800V Set-points'!$O44) &lt; _xlnm.Criteria,'800V Set-points'!$C44,0)</f>
        <v>0</v>
      </c>
      <c r="E170" s="67">
        <f>IF(ABS('800V Set-points'!$O44) &lt; _xlnm.Criteria,'800V Set-points'!$E44,0)</f>
        <v>0</v>
      </c>
      <c r="F170" s="67">
        <f>IF(ABS('800V Set-points'!$O44) &lt; _xlnm.Criteria,'800V Set-points'!$F44,0)</f>
        <v>0</v>
      </c>
      <c r="G170" s="67">
        <f>IF(ABS('800V Set-points'!$O44) &lt; _xlnm.Criteria,'800V Set-points'!$D44,0)</f>
        <v>0</v>
      </c>
      <c r="H170" s="119">
        <f>IF(ABS('800V Set-points'!$O44) &lt; _xlnm.Criteria,'800V Set-points'!$J44,0)</f>
        <v>0</v>
      </c>
      <c r="I170" s="119">
        <f>IF(ABS('800V Set-points'!$O44) &lt; _xlnm.Criteria,'800V Set-points'!$K44,0)</f>
        <v>0</v>
      </c>
      <c r="J170" s="67">
        <f>IF(ABS('800V Set-points'!$O44) &lt; _xlnm.Criteria,'800V Set-points'!$I44,0)</f>
        <v>0</v>
      </c>
    </row>
    <row r="171" spans="1:10" s="67" customFormat="1" x14ac:dyDescent="0.25">
      <c r="A171" s="67">
        <f>IF(ABS('800V Set-points'!$O45) &lt; _xlnm.Criteria,'800V Set-points'!$A45,0)</f>
        <v>0</v>
      </c>
      <c r="B171" s="67" t="s">
        <v>187</v>
      </c>
      <c r="C171" s="120">
        <f>IF(ABS('800V Set-points'!$O45) &lt; _xlnm.Criteria,'800V Set-points'!$B45,0)</f>
        <v>0</v>
      </c>
      <c r="D171" s="120">
        <f>IF(ABS('800V Set-points'!$O45) &lt; _xlnm.Criteria,'800V Set-points'!$C45,0)</f>
        <v>0</v>
      </c>
      <c r="E171" s="67">
        <f>IF(ABS('800V Set-points'!$O45) &lt; _xlnm.Criteria,'800V Set-points'!$E45,0)</f>
        <v>0</v>
      </c>
      <c r="F171" s="67">
        <f>IF(ABS('800V Set-points'!$O45) &lt; _xlnm.Criteria,'800V Set-points'!$F45,0)</f>
        <v>0</v>
      </c>
      <c r="G171" s="67">
        <f>IF(ABS('800V Set-points'!$O45) &lt; _xlnm.Criteria,'800V Set-points'!$D45,0)</f>
        <v>0</v>
      </c>
      <c r="H171" s="119">
        <f>IF(ABS('800V Set-points'!$O45) &lt; _xlnm.Criteria,'800V Set-points'!$J45,0)</f>
        <v>0</v>
      </c>
      <c r="I171" s="119">
        <f>IF(ABS('800V Set-points'!$O45) &lt; _xlnm.Criteria,'800V Set-points'!$K45,0)</f>
        <v>0</v>
      </c>
      <c r="J171" s="67">
        <f>IF(ABS('800V Set-points'!$O45) &lt; _xlnm.Criteria,'800V Set-points'!$I45,0)</f>
        <v>0</v>
      </c>
    </row>
    <row r="172" spans="1:10" s="67" customFormat="1" x14ac:dyDescent="0.25">
      <c r="A172" s="67">
        <f>IF(ABS('800V Set-points'!$O46) &lt; _xlnm.Criteria,'800V Set-points'!$A46,0)</f>
        <v>0</v>
      </c>
      <c r="B172" s="67" t="s">
        <v>187</v>
      </c>
      <c r="C172" s="120">
        <f>IF(ABS('800V Set-points'!$O46) &lt; _xlnm.Criteria,'800V Set-points'!$B46,0)</f>
        <v>0</v>
      </c>
      <c r="D172" s="120">
        <f>IF(ABS('800V Set-points'!$O46) &lt; _xlnm.Criteria,'800V Set-points'!$C46,0)</f>
        <v>0</v>
      </c>
      <c r="E172" s="67">
        <f>IF(ABS('800V Set-points'!$O46) &lt; _xlnm.Criteria,'800V Set-points'!$E46,0)</f>
        <v>0</v>
      </c>
      <c r="F172" s="67">
        <f>IF(ABS('800V Set-points'!$O46) &lt; _xlnm.Criteria,'800V Set-points'!$F46,0)</f>
        <v>0</v>
      </c>
      <c r="G172" s="67">
        <f>IF(ABS('800V Set-points'!$O46) &lt; _xlnm.Criteria,'800V Set-points'!$D46,0)</f>
        <v>0</v>
      </c>
      <c r="H172" s="119">
        <f>IF(ABS('800V Set-points'!$O46) &lt; _xlnm.Criteria,'800V Set-points'!$J46,0)</f>
        <v>0</v>
      </c>
      <c r="I172" s="119">
        <f>IF(ABS('800V Set-points'!$O46) &lt; _xlnm.Criteria,'800V Set-points'!$K46,0)</f>
        <v>0</v>
      </c>
      <c r="J172" s="67">
        <f>IF(ABS('800V Set-points'!$O46) &lt; _xlnm.Criteria,'800V Set-points'!$I46,0)</f>
        <v>0</v>
      </c>
    </row>
    <row r="173" spans="1:10" s="67" customFormat="1" x14ac:dyDescent="0.25">
      <c r="A173" s="67">
        <f>IF(ABS('800V Set-points'!$O47) &lt; _xlnm.Criteria,'800V Set-points'!$A47,0)</f>
        <v>0</v>
      </c>
      <c r="B173" s="67" t="s">
        <v>187</v>
      </c>
      <c r="C173" s="120">
        <f>IF(ABS('800V Set-points'!$O47) &lt; _xlnm.Criteria,'800V Set-points'!$B47,0)</f>
        <v>0</v>
      </c>
      <c r="D173" s="120">
        <f>IF(ABS('800V Set-points'!$O47) &lt; _xlnm.Criteria,'800V Set-points'!$C47,0)</f>
        <v>0</v>
      </c>
      <c r="E173" s="67">
        <f>IF(ABS('800V Set-points'!$O47) &lt; _xlnm.Criteria,'800V Set-points'!$E47,0)</f>
        <v>0</v>
      </c>
      <c r="F173" s="67">
        <f>IF(ABS('800V Set-points'!$O47) &lt; _xlnm.Criteria,'800V Set-points'!$F47,0)</f>
        <v>0</v>
      </c>
      <c r="G173" s="67">
        <f>IF(ABS('800V Set-points'!$O47) &lt; _xlnm.Criteria,'800V Set-points'!$D47,0)</f>
        <v>0</v>
      </c>
      <c r="H173" s="119">
        <f>IF(ABS('800V Set-points'!$O47) &lt; _xlnm.Criteria,'800V Set-points'!$J47,0)</f>
        <v>0</v>
      </c>
      <c r="I173" s="119">
        <f>IF(ABS('800V Set-points'!$O47) &lt; _xlnm.Criteria,'800V Set-points'!$K47,0)</f>
        <v>0</v>
      </c>
      <c r="J173" s="67">
        <f>IF(ABS('800V Set-points'!$O47) &lt; _xlnm.Criteria,'800V Set-points'!$I47,0)</f>
        <v>0</v>
      </c>
    </row>
  </sheetData>
  <dataConsolidate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D97AB-4AF0-493E-80E8-592CB4A9EE45}">
  <dimension ref="A1:Q84"/>
  <sheetViews>
    <sheetView workbookViewId="0">
      <selection activeCell="M78" sqref="M78"/>
    </sheetView>
  </sheetViews>
  <sheetFormatPr defaultRowHeight="15" x14ac:dyDescent="0.25"/>
  <cols>
    <col min="1" max="1" width="17.85546875" bestFit="1" customWidth="1"/>
    <col min="2" max="11" width="10.28515625" customWidth="1"/>
    <col min="12" max="12" width="19.140625" bestFit="1" customWidth="1"/>
    <col min="13" max="13" width="13.85546875" bestFit="1" customWidth="1"/>
  </cols>
  <sheetData>
    <row r="1" spans="1:11" ht="45" x14ac:dyDescent="0.25">
      <c r="A1" s="47" t="s">
        <v>4</v>
      </c>
      <c r="B1" s="47" t="s">
        <v>183</v>
      </c>
      <c r="C1" s="47" t="s">
        <v>61</v>
      </c>
      <c r="D1" s="47" t="s">
        <v>62</v>
      </c>
      <c r="E1" s="47" t="s">
        <v>180</v>
      </c>
      <c r="F1" s="47" t="s">
        <v>177</v>
      </c>
      <c r="G1" s="47" t="s">
        <v>182</v>
      </c>
      <c r="H1" s="47" t="s">
        <v>188</v>
      </c>
      <c r="I1" s="47" t="s">
        <v>178</v>
      </c>
      <c r="J1" s="47" t="s">
        <v>179</v>
      </c>
      <c r="K1" s="47" t="s">
        <v>181</v>
      </c>
    </row>
    <row r="2" spans="1:11" x14ac:dyDescent="0.25">
      <c r="A2" t="s">
        <v>50</v>
      </c>
      <c r="B2" s="118" t="s">
        <v>187</v>
      </c>
      <c r="C2" s="2">
        <v>0.59199999999999997</v>
      </c>
      <c r="D2">
        <v>3203</v>
      </c>
      <c r="E2" s="55">
        <v>2.7519999999999998</v>
      </c>
      <c r="F2" s="12">
        <v>5319.067965392157</v>
      </c>
      <c r="G2" s="12">
        <v>2107.9351936609933</v>
      </c>
      <c r="H2">
        <v>2000</v>
      </c>
      <c r="I2" s="12">
        <v>73.007999999999996</v>
      </c>
      <c r="J2" s="12">
        <v>18.251999999999999</v>
      </c>
      <c r="K2" s="12">
        <f>configspec[[#This Row],[Max Thrust Power]]+5</f>
        <v>78.007999999999996</v>
      </c>
    </row>
    <row r="3" spans="1:11" x14ac:dyDescent="0.25">
      <c r="A3" t="s">
        <v>42</v>
      </c>
      <c r="B3" s="118" t="s">
        <v>186</v>
      </c>
      <c r="C3" s="2">
        <v>0.60599999999999998</v>
      </c>
      <c r="D3">
        <v>2583</v>
      </c>
      <c r="E3" s="55">
        <v>4.72</v>
      </c>
      <c r="F3" s="12">
        <v>6049.4007117450983</v>
      </c>
      <c r="G3" s="12">
        <v>2972.0806905330473</v>
      </c>
      <c r="H3">
        <v>2000</v>
      </c>
      <c r="I3" s="12">
        <v>101.232</v>
      </c>
      <c r="J3" s="12">
        <v>25.308</v>
      </c>
      <c r="K3" s="12">
        <f>configspec[[#This Row],[Max Thrust Power]]+5</f>
        <v>106.232</v>
      </c>
    </row>
    <row r="4" spans="1:11" x14ac:dyDescent="0.25">
      <c r="A4" t="s">
        <v>58</v>
      </c>
      <c r="B4" s="118" t="s">
        <v>187</v>
      </c>
      <c r="C4" s="2">
        <v>0.57999999999999996</v>
      </c>
      <c r="D4">
        <v>3152</v>
      </c>
      <c r="E4" s="55">
        <v>3.8079999999999998</v>
      </c>
      <c r="F4" s="12">
        <v>6050.1136529215692</v>
      </c>
      <c r="G4" s="12">
        <v>2392.9140529700589</v>
      </c>
      <c r="H4">
        <v>2000</v>
      </c>
      <c r="I4" s="12">
        <v>101.47200000000001</v>
      </c>
      <c r="J4" s="12">
        <v>25.368000000000002</v>
      </c>
      <c r="K4" s="12">
        <f>configspec[[#This Row],[Max Thrust Power]]+5</f>
        <v>106.47200000000001</v>
      </c>
    </row>
    <row r="5" spans="1:11" x14ac:dyDescent="0.25">
      <c r="A5" t="s">
        <v>54</v>
      </c>
      <c r="B5" s="118" t="s">
        <v>187</v>
      </c>
      <c r="C5" s="2">
        <v>0.60699999999999998</v>
      </c>
      <c r="D5">
        <v>3068</v>
      </c>
      <c r="E5" s="55">
        <v>5.2</v>
      </c>
      <c r="F5" s="12">
        <v>8499.5201239803937</v>
      </c>
      <c r="G5" s="12">
        <v>3669.3396526441006</v>
      </c>
      <c r="H5">
        <v>4000</v>
      </c>
      <c r="I5" s="12">
        <v>128.75200000000001</v>
      </c>
      <c r="J5" s="12">
        <v>32.188000000000002</v>
      </c>
      <c r="K5" s="12">
        <f>configspec[[#This Row],[Max Thrust Power]]+5</f>
        <v>133.75200000000001</v>
      </c>
    </row>
    <row r="6" spans="1:11" x14ac:dyDescent="0.25">
      <c r="A6" t="s">
        <v>46</v>
      </c>
      <c r="B6" s="118" t="s">
        <v>186</v>
      </c>
      <c r="C6" s="2">
        <v>0.60599999999999998</v>
      </c>
      <c r="D6">
        <v>2637</v>
      </c>
      <c r="E6" s="55">
        <v>6.032</v>
      </c>
      <c r="F6" s="12">
        <v>6500.0429475098044</v>
      </c>
      <c r="G6" s="12">
        <v>3091.0712552088294</v>
      </c>
      <c r="H6">
        <v>2000</v>
      </c>
      <c r="I6" s="12">
        <v>128.928</v>
      </c>
      <c r="J6" s="12">
        <v>32.231999999999999</v>
      </c>
      <c r="K6" s="12">
        <f>configspec[[#This Row],[Max Thrust Power]]+5</f>
        <v>133.928</v>
      </c>
    </row>
    <row r="7" spans="1:11" x14ac:dyDescent="0.25">
      <c r="A7" t="s">
        <v>91</v>
      </c>
      <c r="B7" s="118" t="s">
        <v>184</v>
      </c>
      <c r="C7" s="2">
        <v>0.56000000000000005</v>
      </c>
      <c r="D7">
        <v>1979</v>
      </c>
      <c r="E7" s="55">
        <v>7.44</v>
      </c>
      <c r="F7" s="12">
        <v>6500.3850000000002</v>
      </c>
      <c r="G7" s="12">
        <v>4254.1546075964043</v>
      </c>
      <c r="H7">
        <v>2000</v>
      </c>
      <c r="I7" s="12">
        <v>128.96</v>
      </c>
      <c r="J7" s="12">
        <v>32.24</v>
      </c>
      <c r="K7" s="12">
        <f>configspec[[#This Row],[Max Thrust Power]]+5</f>
        <v>133.96</v>
      </c>
    </row>
    <row r="8" spans="1:11" x14ac:dyDescent="0.25">
      <c r="A8" t="s">
        <v>33</v>
      </c>
      <c r="B8" s="118" t="s">
        <v>185</v>
      </c>
      <c r="C8" s="2">
        <v>0.60599999999999998</v>
      </c>
      <c r="D8">
        <v>2217</v>
      </c>
      <c r="E8" s="55">
        <v>7.1840000000000002</v>
      </c>
      <c r="F8" s="12">
        <v>8024.78</v>
      </c>
      <c r="G8" s="12">
        <v>4506.0651182256497</v>
      </c>
      <c r="H8">
        <v>2000</v>
      </c>
      <c r="I8" s="12">
        <v>128.976</v>
      </c>
      <c r="J8" s="12">
        <v>32.244</v>
      </c>
      <c r="K8" s="12">
        <f>configspec[[#This Row],[Max Thrust Power]]+5</f>
        <v>133.976</v>
      </c>
    </row>
    <row r="9" spans="1:11" x14ac:dyDescent="0.25">
      <c r="A9" t="s">
        <v>25</v>
      </c>
      <c r="B9" s="118" t="s">
        <v>185</v>
      </c>
      <c r="C9" s="2">
        <v>0.58399999999999996</v>
      </c>
      <c r="D9">
        <v>2077</v>
      </c>
      <c r="E9" s="55">
        <v>8.32</v>
      </c>
      <c r="F9" s="12">
        <v>11088.09</v>
      </c>
      <c r="G9" s="12">
        <v>7029.9695970848697</v>
      </c>
      <c r="H9">
        <v>4000</v>
      </c>
      <c r="I9" s="12">
        <v>145.184</v>
      </c>
      <c r="J9" s="12">
        <v>18.148</v>
      </c>
      <c r="K9" s="12">
        <f>configspec[[#This Row],[Max Thrust Power]]+5</f>
        <v>150.184</v>
      </c>
    </row>
    <row r="10" spans="1:11" x14ac:dyDescent="0.25">
      <c r="A10" t="s">
        <v>39</v>
      </c>
      <c r="B10" s="118" t="s">
        <v>186</v>
      </c>
      <c r="C10" s="2">
        <v>0.58399999999999996</v>
      </c>
      <c r="D10">
        <v>2696</v>
      </c>
      <c r="E10" s="55">
        <v>6.3360000000000003</v>
      </c>
      <c r="F10" s="12">
        <v>10025.448861817928</v>
      </c>
      <c r="G10" s="12">
        <v>4837.4771746236011</v>
      </c>
      <c r="H10">
        <v>4000</v>
      </c>
      <c r="I10" s="12">
        <v>145.40800000000002</v>
      </c>
      <c r="J10" s="12">
        <v>18.176000000000002</v>
      </c>
      <c r="K10" s="12">
        <f>configspec[[#This Row],[Max Thrust Power]]+5</f>
        <v>150.40800000000002</v>
      </c>
    </row>
    <row r="11" spans="1:11" x14ac:dyDescent="0.25">
      <c r="A11" t="s">
        <v>51</v>
      </c>
      <c r="B11" s="118" t="s">
        <v>187</v>
      </c>
      <c r="C11" s="2">
        <v>0.59199999999999997</v>
      </c>
      <c r="D11">
        <v>3203</v>
      </c>
      <c r="E11" s="55">
        <v>5.5039999999999996</v>
      </c>
      <c r="F11" s="12">
        <v>10027.254979464986</v>
      </c>
      <c r="G11" s="12">
        <v>4012.0907376211931</v>
      </c>
      <c r="H11">
        <v>4000</v>
      </c>
      <c r="I11" s="12">
        <v>146.01599999999999</v>
      </c>
      <c r="J11" s="12">
        <v>18.251999999999999</v>
      </c>
      <c r="K11" s="12">
        <f>configspec[[#This Row],[Max Thrust Power]]+5</f>
        <v>151.01599999999999</v>
      </c>
    </row>
    <row r="12" spans="1:11" x14ac:dyDescent="0.25">
      <c r="A12" t="s">
        <v>98</v>
      </c>
      <c r="B12" s="118" t="s">
        <v>184</v>
      </c>
      <c r="C12" s="2">
        <v>0.56999999999999995</v>
      </c>
      <c r="D12">
        <v>1977</v>
      </c>
      <c r="E12" s="55">
        <v>11.68</v>
      </c>
      <c r="F12" s="12">
        <v>11060</v>
      </c>
      <c r="G12" s="12">
        <v>7415.9900817809221</v>
      </c>
      <c r="H12">
        <v>4000</v>
      </c>
      <c r="I12" s="12">
        <v>191.96800000000002</v>
      </c>
      <c r="J12" s="12">
        <v>23.996000000000002</v>
      </c>
      <c r="K12" s="12">
        <f>configspec[[#This Row],[Max Thrust Power]]+5</f>
        <v>196.96800000000002</v>
      </c>
    </row>
    <row r="13" spans="1:11" x14ac:dyDescent="0.25">
      <c r="A13" t="s">
        <v>26</v>
      </c>
      <c r="B13" s="118" t="s">
        <v>185</v>
      </c>
      <c r="C13" s="2">
        <v>0.60599999999999998</v>
      </c>
      <c r="D13">
        <v>2165</v>
      </c>
      <c r="E13" s="55">
        <v>11.488</v>
      </c>
      <c r="F13" s="12">
        <v>16854.439999999999</v>
      </c>
      <c r="G13" s="12">
        <v>10692.350172235956</v>
      </c>
      <c r="H13">
        <v>8000</v>
      </c>
      <c r="I13" s="12">
        <v>201.44</v>
      </c>
      <c r="J13" s="12">
        <v>25.18</v>
      </c>
      <c r="K13" s="12">
        <f>configspec[[#This Row],[Max Thrust Power]]+5</f>
        <v>206.44</v>
      </c>
    </row>
    <row r="14" spans="1:11" x14ac:dyDescent="0.25">
      <c r="A14" t="s">
        <v>43</v>
      </c>
      <c r="B14" s="118" t="s">
        <v>186</v>
      </c>
      <c r="C14" s="2">
        <v>0.60599999999999998</v>
      </c>
      <c r="D14">
        <v>2583</v>
      </c>
      <c r="E14" s="55">
        <v>9.44</v>
      </c>
      <c r="F14" s="12">
        <v>11091.132992170868</v>
      </c>
      <c r="G14" s="12">
        <v>5519.3207443018791</v>
      </c>
      <c r="H14">
        <v>4000</v>
      </c>
      <c r="I14" s="12">
        <v>202.464</v>
      </c>
      <c r="J14" s="12">
        <v>25.308</v>
      </c>
      <c r="K14" s="12">
        <f>configspec[[#This Row],[Max Thrust Power]]+5</f>
        <v>207.464</v>
      </c>
    </row>
    <row r="15" spans="1:11" x14ac:dyDescent="0.25">
      <c r="A15" t="s">
        <v>59</v>
      </c>
      <c r="B15" s="118" t="s">
        <v>187</v>
      </c>
      <c r="C15" s="2">
        <v>0.57999999999999996</v>
      </c>
      <c r="D15">
        <v>3152</v>
      </c>
      <c r="E15" s="55">
        <v>7.6159999999999997</v>
      </c>
      <c r="F15" s="12">
        <v>15093</v>
      </c>
      <c r="G15" s="12">
        <v>6480.4498569217039</v>
      </c>
      <c r="H15">
        <v>8000</v>
      </c>
      <c r="I15" s="12">
        <v>202.94400000000002</v>
      </c>
      <c r="J15" s="12">
        <v>25.368000000000002</v>
      </c>
      <c r="K15" s="12">
        <f>configspec[[#This Row],[Max Thrust Power]]+5</f>
        <v>207.94400000000002</v>
      </c>
    </row>
    <row r="16" spans="1:11" x14ac:dyDescent="0.25">
      <c r="A16" t="s">
        <v>55</v>
      </c>
      <c r="B16" s="118" t="s">
        <v>187</v>
      </c>
      <c r="C16" s="2">
        <v>0.60699999999999998</v>
      </c>
      <c r="D16">
        <v>3068</v>
      </c>
      <c r="E16" s="55">
        <v>10.4</v>
      </c>
      <c r="F16" s="12">
        <v>16853</v>
      </c>
      <c r="G16" s="12">
        <v>7287.6416134321144</v>
      </c>
      <c r="H16">
        <v>8000</v>
      </c>
      <c r="I16" s="12">
        <v>257.50400000000002</v>
      </c>
      <c r="J16" s="12">
        <v>32.188000000000002</v>
      </c>
      <c r="K16" s="12">
        <f>configspec[[#This Row],[Max Thrust Power]]+5</f>
        <v>262.50400000000002</v>
      </c>
    </row>
    <row r="17" spans="1:17" x14ac:dyDescent="0.25">
      <c r="A17" t="s">
        <v>55</v>
      </c>
      <c r="B17" s="118" t="s">
        <v>187</v>
      </c>
      <c r="C17" s="2">
        <v>0.60699999999999998</v>
      </c>
      <c r="D17">
        <v>3068</v>
      </c>
      <c r="E17" s="55">
        <v>10.4</v>
      </c>
      <c r="F17" s="12">
        <v>20853</v>
      </c>
      <c r="G17" s="12">
        <v>9384.5029609884696</v>
      </c>
      <c r="H17">
        <v>12000</v>
      </c>
      <c r="I17" s="12">
        <v>257.50400000000002</v>
      </c>
      <c r="J17" s="12">
        <v>32.188000000000002</v>
      </c>
      <c r="K17" s="12">
        <f>configspec[[#This Row],[Max Thrust Power]]+5</f>
        <v>262.50400000000002</v>
      </c>
    </row>
    <row r="18" spans="1:17" x14ac:dyDescent="0.25">
      <c r="A18" t="s">
        <v>47</v>
      </c>
      <c r="B18" s="118" t="s">
        <v>186</v>
      </c>
      <c r="C18" s="2">
        <v>0.60599999999999998</v>
      </c>
      <c r="D18">
        <v>2637</v>
      </c>
      <c r="E18" s="55">
        <v>12.064</v>
      </c>
      <c r="F18" s="12">
        <v>16854.150659700281</v>
      </c>
      <c r="G18" s="12">
        <v>8594.8395372051327</v>
      </c>
      <c r="H18">
        <v>8000</v>
      </c>
      <c r="I18" s="12">
        <v>257.85599999999999</v>
      </c>
      <c r="J18" s="12">
        <v>32.231999999999999</v>
      </c>
      <c r="K18" s="12">
        <f>configspec[[#This Row],[Max Thrust Power]]+5</f>
        <v>262.85599999999999</v>
      </c>
    </row>
    <row r="19" spans="1:17" x14ac:dyDescent="0.25">
      <c r="A19" t="s">
        <v>100</v>
      </c>
      <c r="B19" s="118" t="s">
        <v>184</v>
      </c>
      <c r="C19" s="2">
        <v>0.56000000000000005</v>
      </c>
      <c r="D19">
        <v>1979</v>
      </c>
      <c r="E19" s="55">
        <v>14.88</v>
      </c>
      <c r="F19" s="12">
        <v>14855</v>
      </c>
      <c r="G19" s="12">
        <v>10127.204206001932</v>
      </c>
      <c r="H19">
        <v>6000</v>
      </c>
      <c r="I19" s="12">
        <v>257.92</v>
      </c>
      <c r="J19" s="12">
        <v>32.24</v>
      </c>
      <c r="K19" s="12">
        <f>configspec[[#This Row],[Max Thrust Power]]+5</f>
        <v>262.92</v>
      </c>
      <c r="O19" t="s">
        <v>217</v>
      </c>
    </row>
    <row r="20" spans="1:17" x14ac:dyDescent="0.25">
      <c r="A20" t="s">
        <v>27</v>
      </c>
      <c r="B20" s="118" t="s">
        <v>185</v>
      </c>
      <c r="C20" s="2">
        <v>0.60599999999999998</v>
      </c>
      <c r="D20">
        <v>2217</v>
      </c>
      <c r="E20" s="55">
        <v>14.368</v>
      </c>
      <c r="F20" s="12">
        <v>16854.439999999999</v>
      </c>
      <c r="G20" s="12">
        <v>10412.60447835069</v>
      </c>
      <c r="H20">
        <v>8000</v>
      </c>
      <c r="I20" s="12">
        <v>257.952</v>
      </c>
      <c r="J20" s="12">
        <v>32.244</v>
      </c>
      <c r="K20" s="12">
        <f>configspec[[#This Row],[Max Thrust Power]]+5</f>
        <v>262.952</v>
      </c>
      <c r="M20">
        <f>ROWS(configspec[])</f>
        <v>83</v>
      </c>
      <c r="N20" t="s">
        <v>211</v>
      </c>
      <c r="O20">
        <f>4+2</f>
        <v>6</v>
      </c>
      <c r="P20">
        <f>M20*O20</f>
        <v>498</v>
      </c>
      <c r="Q20" t="s">
        <v>216</v>
      </c>
    </row>
    <row r="21" spans="1:17" x14ac:dyDescent="0.25">
      <c r="A21" t="s">
        <v>52</v>
      </c>
      <c r="B21" s="118" t="s">
        <v>187</v>
      </c>
      <c r="C21" s="2">
        <v>0.59199999999999997</v>
      </c>
      <c r="D21">
        <v>3203</v>
      </c>
      <c r="E21" s="55">
        <v>8.2560000000000002</v>
      </c>
      <c r="F21" s="12">
        <v>16713</v>
      </c>
      <c r="G21" s="12">
        <v>6909.5097418517071</v>
      </c>
      <c r="H21">
        <v>8000</v>
      </c>
      <c r="I21" s="12">
        <v>219.024</v>
      </c>
      <c r="J21" s="12">
        <v>18.251999999999999</v>
      </c>
      <c r="K21" s="12">
        <f>configspec[[#This Row],[Max Thrust Power]]+5</f>
        <v>224.024</v>
      </c>
      <c r="M21">
        <f>COLUMNS(configspec[])</f>
        <v>11</v>
      </c>
      <c r="N21" t="s">
        <v>212</v>
      </c>
    </row>
    <row r="22" spans="1:17" x14ac:dyDescent="0.25">
      <c r="A22" t="s">
        <v>36</v>
      </c>
      <c r="B22" s="118" t="s">
        <v>185</v>
      </c>
      <c r="C22" s="2">
        <v>0.60599999999999998</v>
      </c>
      <c r="D22">
        <v>2165</v>
      </c>
      <c r="E22" s="55">
        <v>17.231999999999999</v>
      </c>
      <c r="F22" s="12">
        <v>19279.183613067227</v>
      </c>
      <c r="G22" s="12">
        <v>11935.54863687022</v>
      </c>
      <c r="H22">
        <v>8000</v>
      </c>
      <c r="I22" s="12">
        <v>302.16000000000003</v>
      </c>
      <c r="J22" s="12">
        <v>25.18</v>
      </c>
      <c r="K22" s="12">
        <f>configspec[[#This Row],[Max Thrust Power]]+5</f>
        <v>307.16000000000003</v>
      </c>
    </row>
    <row r="23" spans="1:17" x14ac:dyDescent="0.25">
      <c r="A23" t="s">
        <v>44</v>
      </c>
      <c r="B23" s="118" t="s">
        <v>186</v>
      </c>
      <c r="C23" s="2">
        <v>0.60599999999999998</v>
      </c>
      <c r="D23">
        <v>2583</v>
      </c>
      <c r="E23" s="55">
        <v>14.16</v>
      </c>
      <c r="F23" s="12">
        <v>19283.746436596637</v>
      </c>
      <c r="G23" s="12">
        <v>9816.603711033129</v>
      </c>
      <c r="H23">
        <v>8000</v>
      </c>
      <c r="I23" s="12">
        <v>303.69600000000003</v>
      </c>
      <c r="J23" s="12">
        <v>25.308</v>
      </c>
      <c r="K23" s="12">
        <f>configspec[[#This Row],[Max Thrust Power]]+5</f>
        <v>308.69600000000003</v>
      </c>
    </row>
    <row r="24" spans="1:17" x14ac:dyDescent="0.25">
      <c r="A24" t="s">
        <v>44</v>
      </c>
      <c r="B24" s="118" t="s">
        <v>186</v>
      </c>
      <c r="C24" s="2">
        <v>0.60599999999999998</v>
      </c>
      <c r="D24">
        <v>2583</v>
      </c>
      <c r="E24" s="55">
        <v>14.16</v>
      </c>
      <c r="F24" s="12">
        <v>23283.746436596637</v>
      </c>
      <c r="G24" s="12">
        <v>12346.249119541026</v>
      </c>
      <c r="H24">
        <v>12000</v>
      </c>
      <c r="I24" s="12">
        <v>303.69600000000003</v>
      </c>
      <c r="J24" s="12">
        <v>25.308</v>
      </c>
      <c r="K24" s="12">
        <f>configspec[[#This Row],[Max Thrust Power]]+5</f>
        <v>308.69600000000003</v>
      </c>
    </row>
    <row r="25" spans="1:17" x14ac:dyDescent="0.25">
      <c r="A25" t="s">
        <v>77</v>
      </c>
      <c r="B25" s="118" t="s">
        <v>187</v>
      </c>
      <c r="C25" s="2">
        <v>0.57999999999999996</v>
      </c>
      <c r="D25">
        <v>3152</v>
      </c>
      <c r="E25" s="55">
        <v>11.423999999999999</v>
      </c>
      <c r="F25" s="12">
        <v>23286</v>
      </c>
      <c r="G25" s="12">
        <v>9940.1065578907983</v>
      </c>
      <c r="H25">
        <v>12000</v>
      </c>
      <c r="I25" s="12">
        <v>304.416</v>
      </c>
      <c r="J25" s="12">
        <v>25.368000000000002</v>
      </c>
      <c r="K25" s="12">
        <f>configspec[[#This Row],[Max Thrust Power]]+5</f>
        <v>309.416</v>
      </c>
    </row>
    <row r="26" spans="1:17" x14ac:dyDescent="0.25">
      <c r="A26" t="s">
        <v>77</v>
      </c>
      <c r="B26" s="118" t="s">
        <v>187</v>
      </c>
      <c r="C26" s="2">
        <v>0.57999999999999996</v>
      </c>
      <c r="D26">
        <v>3152</v>
      </c>
      <c r="E26" s="55">
        <v>11.423999999999999</v>
      </c>
      <c r="F26" s="12">
        <v>27286</v>
      </c>
      <c r="G26" s="12">
        <v>11976.596325948736</v>
      </c>
      <c r="H26">
        <v>16000</v>
      </c>
      <c r="I26" s="12">
        <v>304.416</v>
      </c>
      <c r="J26" s="12">
        <v>25.368000000000002</v>
      </c>
      <c r="K26" s="12">
        <f>configspec[[#This Row],[Max Thrust Power]]+5</f>
        <v>309.416</v>
      </c>
    </row>
    <row r="27" spans="1:17" x14ac:dyDescent="0.25">
      <c r="A27" t="s">
        <v>56</v>
      </c>
      <c r="B27" s="118" t="s">
        <v>187</v>
      </c>
      <c r="C27" s="2">
        <v>0.60699999999999998</v>
      </c>
      <c r="D27">
        <v>3068</v>
      </c>
      <c r="E27" s="55">
        <v>15.600000000000001</v>
      </c>
      <c r="F27" s="12">
        <v>30346</v>
      </c>
      <c r="G27" s="12">
        <v>13401.04087223267</v>
      </c>
      <c r="H27">
        <v>16000</v>
      </c>
      <c r="I27" s="12">
        <v>386.25600000000003</v>
      </c>
      <c r="J27" s="12">
        <v>32.188000000000002</v>
      </c>
      <c r="K27" s="12">
        <f>configspec[[#This Row],[Max Thrust Power]]+5</f>
        <v>391.25600000000003</v>
      </c>
    </row>
    <row r="28" spans="1:17" x14ac:dyDescent="0.25">
      <c r="A28" t="s">
        <v>56</v>
      </c>
      <c r="B28" s="118" t="s">
        <v>187</v>
      </c>
      <c r="C28" s="2">
        <v>0.60699999999999998</v>
      </c>
      <c r="D28">
        <v>3068</v>
      </c>
      <c r="E28" s="55">
        <v>15.600000000000001</v>
      </c>
      <c r="F28" s="12">
        <v>38346</v>
      </c>
      <c r="G28" s="12">
        <v>17594.763567345381</v>
      </c>
      <c r="H28">
        <v>24000</v>
      </c>
      <c r="I28" s="12">
        <v>386.25600000000003</v>
      </c>
      <c r="J28" s="12">
        <v>32.188000000000002</v>
      </c>
      <c r="K28" s="12">
        <f>configspec[[#This Row],[Max Thrust Power]]+5</f>
        <v>391.25600000000003</v>
      </c>
    </row>
    <row r="29" spans="1:17" x14ac:dyDescent="0.25">
      <c r="A29" t="s">
        <v>48</v>
      </c>
      <c r="B29" s="118" t="s">
        <v>186</v>
      </c>
      <c r="C29" s="2">
        <v>0.60599999999999998</v>
      </c>
      <c r="D29">
        <v>2637</v>
      </c>
      <c r="E29" s="55">
        <v>18.096</v>
      </c>
      <c r="F29" s="12">
        <v>26347.729583890756</v>
      </c>
      <c r="G29" s="12">
        <v>13331.808602673642</v>
      </c>
      <c r="H29">
        <v>12000</v>
      </c>
      <c r="I29" s="12">
        <v>386.78399999999999</v>
      </c>
      <c r="J29" s="12">
        <v>32.231999999999999</v>
      </c>
      <c r="K29" s="12">
        <f>configspec[[#This Row],[Max Thrust Power]]+5</f>
        <v>391.78399999999999</v>
      </c>
    </row>
    <row r="30" spans="1:17" x14ac:dyDescent="0.25">
      <c r="A30" t="s">
        <v>48</v>
      </c>
      <c r="B30" s="118" t="s">
        <v>186</v>
      </c>
      <c r="C30" s="2">
        <v>0.60599999999999998</v>
      </c>
      <c r="D30">
        <v>2637</v>
      </c>
      <c r="E30" s="55">
        <v>18.096</v>
      </c>
      <c r="F30" s="12">
        <v>30347.729583890756</v>
      </c>
      <c r="G30" s="12">
        <v>15804.651446515069</v>
      </c>
      <c r="H30">
        <v>16000</v>
      </c>
      <c r="I30" s="12">
        <v>386.78399999999999</v>
      </c>
      <c r="J30" s="12">
        <v>32.231999999999999</v>
      </c>
      <c r="K30" s="12">
        <f>configspec[[#This Row],[Max Thrust Power]]+5</f>
        <v>391.78399999999999</v>
      </c>
    </row>
    <row r="31" spans="1:17" x14ac:dyDescent="0.25">
      <c r="A31" t="s">
        <v>95</v>
      </c>
      <c r="B31" s="118" t="s">
        <v>184</v>
      </c>
      <c r="C31" s="2">
        <v>0.56000000000000005</v>
      </c>
      <c r="D31">
        <v>1979</v>
      </c>
      <c r="E31" s="55">
        <v>22.32</v>
      </c>
      <c r="F31" s="12">
        <v>26348</v>
      </c>
      <c r="G31" s="12">
        <v>18347.510593993306</v>
      </c>
      <c r="H31">
        <v>12000</v>
      </c>
      <c r="I31" s="12">
        <v>386.88</v>
      </c>
      <c r="J31" s="12">
        <v>32.24</v>
      </c>
      <c r="K31" s="12">
        <f>configspec[[#This Row],[Max Thrust Power]]+5</f>
        <v>391.88</v>
      </c>
    </row>
    <row r="32" spans="1:17" x14ac:dyDescent="0.25">
      <c r="A32" t="s">
        <v>37</v>
      </c>
      <c r="B32" s="118" t="s">
        <v>185</v>
      </c>
      <c r="C32" s="2">
        <v>0.60599999999999998</v>
      </c>
      <c r="D32">
        <v>2217</v>
      </c>
      <c r="E32" s="55">
        <v>21.552</v>
      </c>
      <c r="F32" s="12">
        <v>26348.15734859664</v>
      </c>
      <c r="G32" s="12">
        <v>16151.407953145237</v>
      </c>
      <c r="H32">
        <v>12000</v>
      </c>
      <c r="I32" s="12">
        <v>386.928</v>
      </c>
      <c r="J32" s="12">
        <v>32.244</v>
      </c>
      <c r="K32" s="12">
        <f>configspec[[#This Row],[Max Thrust Power]]+5</f>
        <v>391.928</v>
      </c>
    </row>
    <row r="33" spans="1:11" x14ac:dyDescent="0.25">
      <c r="A33" t="s">
        <v>41</v>
      </c>
      <c r="B33" s="118" t="s">
        <v>186</v>
      </c>
      <c r="C33" s="2">
        <v>0.58399999999999996</v>
      </c>
      <c r="D33">
        <v>2696</v>
      </c>
      <c r="E33" s="55">
        <v>12.672000000000001</v>
      </c>
      <c r="F33" s="12">
        <v>24321.675736316527</v>
      </c>
      <c r="G33" s="12">
        <v>12197.500147915085</v>
      </c>
      <c r="H33">
        <v>12000</v>
      </c>
      <c r="I33" s="12">
        <v>290.81600000000003</v>
      </c>
      <c r="J33" s="12">
        <v>18.176000000000002</v>
      </c>
      <c r="K33" s="12">
        <f>configspec[[#This Row],[Max Thrust Power]]+5</f>
        <v>295.81600000000003</v>
      </c>
    </row>
    <row r="34" spans="1:11" x14ac:dyDescent="0.25">
      <c r="A34" t="s">
        <v>53</v>
      </c>
      <c r="B34" s="118" t="s">
        <v>187</v>
      </c>
      <c r="C34" s="2">
        <v>0.59199999999999997</v>
      </c>
      <c r="D34">
        <v>3203</v>
      </c>
      <c r="E34" s="55">
        <v>11.007999999999999</v>
      </c>
      <c r="F34" s="12">
        <v>24326</v>
      </c>
      <c r="G34" s="12">
        <v>10116.24547054482</v>
      </c>
      <c r="H34">
        <v>12000</v>
      </c>
      <c r="I34" s="12">
        <v>292.03199999999998</v>
      </c>
      <c r="J34" s="12">
        <v>18.251999999999999</v>
      </c>
      <c r="K34" s="12">
        <f>configspec[[#This Row],[Max Thrust Power]]+5</f>
        <v>297.03199999999998</v>
      </c>
    </row>
    <row r="35" spans="1:11" x14ac:dyDescent="0.25">
      <c r="A35" t="s">
        <v>53</v>
      </c>
      <c r="B35" s="118" t="s">
        <v>187</v>
      </c>
      <c r="C35" s="2">
        <v>0.59199999999999997</v>
      </c>
      <c r="D35">
        <v>3203</v>
      </c>
      <c r="E35" s="55">
        <v>11.007999999999999</v>
      </c>
      <c r="F35" s="12">
        <v>28326</v>
      </c>
      <c r="G35" s="12">
        <v>12117.744937117033</v>
      </c>
      <c r="H35">
        <v>16000</v>
      </c>
      <c r="I35" s="12">
        <v>292.03199999999998</v>
      </c>
      <c r="J35" s="12">
        <v>18.251999999999999</v>
      </c>
      <c r="K35" s="12">
        <f>configspec[[#This Row],[Max Thrust Power]]+5</f>
        <v>297.03199999999998</v>
      </c>
    </row>
    <row r="36" spans="1:11" x14ac:dyDescent="0.25">
      <c r="A36" t="s">
        <v>97</v>
      </c>
      <c r="B36" s="118" t="s">
        <v>184</v>
      </c>
      <c r="C36" s="2">
        <v>0.56999999999999995</v>
      </c>
      <c r="D36">
        <v>1977</v>
      </c>
      <c r="E36" s="55">
        <v>23.36</v>
      </c>
      <c r="F36" s="12">
        <v>27415</v>
      </c>
      <c r="G36" s="12">
        <v>18974.372785812368</v>
      </c>
      <c r="H36">
        <v>12000</v>
      </c>
      <c r="I36" s="12">
        <v>383.93600000000004</v>
      </c>
      <c r="J36" s="12">
        <v>23.996000000000002</v>
      </c>
      <c r="K36" s="12">
        <f>configspec[[#This Row],[Max Thrust Power]]+5</f>
        <v>388.93600000000004</v>
      </c>
    </row>
    <row r="37" spans="1:11" x14ac:dyDescent="0.25">
      <c r="A37" t="s">
        <v>28</v>
      </c>
      <c r="B37" s="118" t="s">
        <v>185</v>
      </c>
      <c r="C37" s="2">
        <v>0.60599999999999998</v>
      </c>
      <c r="D37">
        <v>2165</v>
      </c>
      <c r="E37" s="55">
        <v>22.975999999999999</v>
      </c>
      <c r="F37" s="12">
        <v>28255.760000000002</v>
      </c>
      <c r="G37" s="12">
        <v>17563.386086419658</v>
      </c>
      <c r="H37">
        <v>12000</v>
      </c>
      <c r="I37" s="12">
        <v>402.88</v>
      </c>
      <c r="J37" s="12">
        <v>25.18</v>
      </c>
      <c r="K37" s="12">
        <f>configspec[[#This Row],[Max Thrust Power]]+5</f>
        <v>407.88</v>
      </c>
    </row>
    <row r="38" spans="1:11" x14ac:dyDescent="0.25">
      <c r="A38" t="s">
        <v>28</v>
      </c>
      <c r="B38" s="118" t="s">
        <v>185</v>
      </c>
      <c r="C38" s="2">
        <v>0.60599999999999998</v>
      </c>
      <c r="D38">
        <v>2165</v>
      </c>
      <c r="E38" s="55">
        <v>22.975999999999999</v>
      </c>
      <c r="F38" s="12">
        <v>32255.760000000002</v>
      </c>
      <c r="G38" s="12">
        <v>20639.66629501868</v>
      </c>
      <c r="H38">
        <v>16000</v>
      </c>
      <c r="I38" s="12">
        <v>402.88</v>
      </c>
      <c r="J38" s="12">
        <v>25.18</v>
      </c>
      <c r="K38" s="12">
        <f>configspec[[#This Row],[Max Thrust Power]]+5</f>
        <v>407.88</v>
      </c>
    </row>
    <row r="39" spans="1:11" x14ac:dyDescent="0.25">
      <c r="A39" t="s">
        <v>45</v>
      </c>
      <c r="B39" s="118" t="s">
        <v>186</v>
      </c>
      <c r="C39" s="2">
        <v>0.60599999999999998</v>
      </c>
      <c r="D39">
        <v>2583</v>
      </c>
      <c r="E39" s="55">
        <v>18.88</v>
      </c>
      <c r="F39" s="12">
        <v>24409.915736316529</v>
      </c>
      <c r="G39" s="12">
        <v>12821.050619247522</v>
      </c>
      <c r="H39">
        <v>12000</v>
      </c>
      <c r="I39" s="12">
        <v>404.928</v>
      </c>
      <c r="J39" s="12">
        <v>25.308</v>
      </c>
      <c r="K39" s="12">
        <f>configspec[[#This Row],[Max Thrust Power]]+5</f>
        <v>409.928</v>
      </c>
    </row>
    <row r="40" spans="1:11" x14ac:dyDescent="0.25">
      <c r="A40" t="s">
        <v>45</v>
      </c>
      <c r="B40" s="118" t="s">
        <v>186</v>
      </c>
      <c r="C40" s="2">
        <v>0.60599999999999998</v>
      </c>
      <c r="D40">
        <v>2583</v>
      </c>
      <c r="E40" s="55">
        <v>18.88</v>
      </c>
      <c r="F40" s="12">
        <v>32261.83744102241</v>
      </c>
      <c r="G40" s="12">
        <v>16974.695370128939</v>
      </c>
      <c r="H40">
        <v>16000</v>
      </c>
      <c r="I40" s="12">
        <v>404.928</v>
      </c>
      <c r="J40" s="12">
        <v>25.308</v>
      </c>
      <c r="K40" s="12">
        <f>configspec[[#This Row],[Max Thrust Power]]+5</f>
        <v>409.928</v>
      </c>
    </row>
    <row r="41" spans="1:11" x14ac:dyDescent="0.25">
      <c r="A41" t="s">
        <v>60</v>
      </c>
      <c r="B41" s="118" t="s">
        <v>187</v>
      </c>
      <c r="C41" s="2">
        <v>0.57999999999999996</v>
      </c>
      <c r="D41">
        <v>3152</v>
      </c>
      <c r="E41" s="55">
        <v>15.231999999999999</v>
      </c>
      <c r="F41" s="12">
        <v>32265</v>
      </c>
      <c r="G41" s="12">
        <v>13666.543418475483</v>
      </c>
      <c r="H41">
        <v>16000</v>
      </c>
      <c r="I41" s="12">
        <v>405.88800000000003</v>
      </c>
      <c r="J41" s="12">
        <v>25.368000000000002</v>
      </c>
      <c r="K41" s="12">
        <f>configspec[[#This Row],[Max Thrust Power]]+5</f>
        <v>410.88800000000003</v>
      </c>
    </row>
    <row r="42" spans="1:11" x14ac:dyDescent="0.25">
      <c r="A42" t="s">
        <v>60</v>
      </c>
      <c r="B42" s="118" t="s">
        <v>187</v>
      </c>
      <c r="C42" s="2">
        <v>0.57999999999999996</v>
      </c>
      <c r="D42">
        <v>3152</v>
      </c>
      <c r="E42" s="55">
        <v>15.231999999999999</v>
      </c>
      <c r="F42" s="12">
        <v>40265</v>
      </c>
      <c r="G42" s="12">
        <v>17739.522954591361</v>
      </c>
      <c r="H42">
        <v>24000</v>
      </c>
      <c r="I42" s="12">
        <v>405.88800000000003</v>
      </c>
      <c r="J42" s="12">
        <v>25.368000000000002</v>
      </c>
      <c r="K42" s="12">
        <f>configspec[[#This Row],[Max Thrust Power]]+5</f>
        <v>410.88800000000003</v>
      </c>
    </row>
    <row r="43" spans="1:11" x14ac:dyDescent="0.25">
      <c r="A43" t="s">
        <v>57</v>
      </c>
      <c r="B43" s="118" t="s">
        <v>187</v>
      </c>
      <c r="C43" s="2">
        <v>0.60699999999999998</v>
      </c>
      <c r="D43">
        <v>3068</v>
      </c>
      <c r="E43" s="55">
        <v>20.8</v>
      </c>
      <c r="F43" s="12">
        <v>45015</v>
      </c>
      <c r="G43" s="12">
        <v>19925.424955154271</v>
      </c>
      <c r="H43">
        <v>24000</v>
      </c>
      <c r="I43" s="12">
        <v>515.00800000000004</v>
      </c>
      <c r="J43" s="12">
        <v>32.188000000000002</v>
      </c>
      <c r="K43" s="12">
        <f>configspec[[#This Row],[Max Thrust Power]]+5</f>
        <v>520.00800000000004</v>
      </c>
    </row>
    <row r="44" spans="1:11" x14ac:dyDescent="0.25">
      <c r="A44" t="s">
        <v>57</v>
      </c>
      <c r="B44" s="118" t="s">
        <v>187</v>
      </c>
      <c r="C44" s="2">
        <v>0.60699999999999998</v>
      </c>
      <c r="D44">
        <v>3068</v>
      </c>
      <c r="E44" s="55">
        <v>20.8</v>
      </c>
      <c r="F44" s="12">
        <v>57015</v>
      </c>
      <c r="G44" s="12">
        <v>26216.008997823337</v>
      </c>
      <c r="H44">
        <v>36000</v>
      </c>
      <c r="I44" s="12">
        <v>515.00800000000004</v>
      </c>
      <c r="J44" s="12">
        <v>32.188000000000002</v>
      </c>
      <c r="K44" s="12">
        <f>configspec[[#This Row],[Max Thrust Power]]+5</f>
        <v>520.00800000000004</v>
      </c>
    </row>
    <row r="45" spans="1:11" x14ac:dyDescent="0.25">
      <c r="A45" t="s">
        <v>49</v>
      </c>
      <c r="B45" s="118" t="s">
        <v>186</v>
      </c>
      <c r="C45" s="2">
        <v>0.60599999999999998</v>
      </c>
      <c r="D45">
        <v>2637</v>
      </c>
      <c r="E45" s="55">
        <v>24.128</v>
      </c>
      <c r="F45" s="12">
        <v>45017.147128081233</v>
      </c>
      <c r="G45" s="12">
        <v>23499.074041988231</v>
      </c>
      <c r="H45">
        <v>24000</v>
      </c>
      <c r="I45" s="12">
        <v>515.71199999999999</v>
      </c>
      <c r="J45" s="12">
        <v>32.231999999999999</v>
      </c>
      <c r="K45" s="12">
        <f>configspec[[#This Row],[Max Thrust Power]]+5</f>
        <v>520.71199999999999</v>
      </c>
    </row>
    <row r="46" spans="1:11" x14ac:dyDescent="0.25">
      <c r="A46" t="s">
        <v>99</v>
      </c>
      <c r="B46" s="118" t="s">
        <v>184</v>
      </c>
      <c r="C46" s="2">
        <v>0.56000000000000005</v>
      </c>
      <c r="D46">
        <v>1979</v>
      </c>
      <c r="E46" s="55">
        <v>29.76</v>
      </c>
      <c r="F46" s="12">
        <v>37017</v>
      </c>
      <c r="G46" s="12">
        <v>25533.259688691625</v>
      </c>
      <c r="H46">
        <v>16000</v>
      </c>
      <c r="I46" s="12">
        <v>515.84</v>
      </c>
      <c r="J46" s="12">
        <v>32.24</v>
      </c>
      <c r="K46" s="12">
        <f>configspec[[#This Row],[Max Thrust Power]]+5</f>
        <v>520.84</v>
      </c>
    </row>
    <row r="47" spans="1:11" x14ac:dyDescent="0.25">
      <c r="A47" t="s">
        <v>29</v>
      </c>
      <c r="B47" s="118" t="s">
        <v>185</v>
      </c>
      <c r="C47" s="2">
        <v>0.60599999999999998</v>
      </c>
      <c r="D47">
        <v>2217</v>
      </c>
      <c r="E47" s="55">
        <v>28.736000000000001</v>
      </c>
      <c r="F47" s="12">
        <v>37017.72</v>
      </c>
      <c r="G47" s="12">
        <v>22477.310005789532</v>
      </c>
      <c r="H47">
        <v>16000</v>
      </c>
      <c r="I47" s="12">
        <v>515.904</v>
      </c>
      <c r="J47" s="12">
        <v>32.244</v>
      </c>
      <c r="K47" s="12">
        <f>configspec[[#This Row],[Max Thrust Power]]+5</f>
        <v>520.904</v>
      </c>
    </row>
    <row r="48" spans="1:11" x14ac:dyDescent="0.25">
      <c r="A48" t="s">
        <v>29</v>
      </c>
      <c r="B48" s="118" t="s">
        <v>185</v>
      </c>
      <c r="C48" s="2">
        <v>0.60599999999999998</v>
      </c>
      <c r="D48">
        <v>2217</v>
      </c>
      <c r="E48" s="55">
        <v>28.736000000000001</v>
      </c>
      <c r="F48" s="12">
        <v>45017.72</v>
      </c>
      <c r="G48" s="12">
        <v>28468.899985679102</v>
      </c>
      <c r="H48">
        <v>24000</v>
      </c>
      <c r="I48" s="12">
        <v>515.904</v>
      </c>
      <c r="J48" s="12">
        <v>32.244</v>
      </c>
      <c r="K48" s="12">
        <f>configspec[[#This Row],[Max Thrust Power]]+5</f>
        <v>520.904</v>
      </c>
    </row>
    <row r="49" spans="1:11" x14ac:dyDescent="0.25">
      <c r="A49" t="s">
        <v>50</v>
      </c>
      <c r="B49" s="118" t="s">
        <v>187</v>
      </c>
      <c r="C49" s="2">
        <v>0.59199999999999997</v>
      </c>
      <c r="D49">
        <v>3203</v>
      </c>
      <c r="E49" s="55">
        <v>2.7519999999999998</v>
      </c>
      <c r="F49" s="12">
        <v>5319.067965392157</v>
      </c>
      <c r="G49" s="12">
        <f>0.17*configspec[[#This Row],[Dry Mass]]</f>
        <v>904.24155411666675</v>
      </c>
      <c r="H49">
        <v>0</v>
      </c>
      <c r="I49" s="12">
        <v>73.007999999999996</v>
      </c>
      <c r="J49" s="12">
        <v>18.251999999999999</v>
      </c>
      <c r="K49" s="12">
        <f>configspec[[#This Row],[Max Thrust Power]]+5</f>
        <v>78.007999999999996</v>
      </c>
    </row>
    <row r="50" spans="1:11" x14ac:dyDescent="0.25">
      <c r="A50" t="s">
        <v>42</v>
      </c>
      <c r="B50" s="118" t="s">
        <v>186</v>
      </c>
      <c r="C50" s="2">
        <v>0.60599999999999998</v>
      </c>
      <c r="D50">
        <v>2583</v>
      </c>
      <c r="E50" s="55">
        <v>4.72</v>
      </c>
      <c r="F50" s="12">
        <v>6049.4007117450983</v>
      </c>
      <c r="G50" s="12">
        <f>0.17*configspec[[#This Row],[Dry Mass]]</f>
        <v>1028.3981209966669</v>
      </c>
      <c r="H50">
        <v>0</v>
      </c>
      <c r="I50" s="12">
        <v>101.232</v>
      </c>
      <c r="J50" s="12">
        <v>25.308</v>
      </c>
      <c r="K50" s="12">
        <f>configspec[[#This Row],[Max Thrust Power]]+5</f>
        <v>106.232</v>
      </c>
    </row>
    <row r="51" spans="1:11" x14ac:dyDescent="0.25">
      <c r="A51" t="s">
        <v>58</v>
      </c>
      <c r="B51" s="118" t="s">
        <v>187</v>
      </c>
      <c r="C51" s="2">
        <v>0.57999999999999996</v>
      </c>
      <c r="D51">
        <v>3152</v>
      </c>
      <c r="E51" s="55">
        <v>3.8079999999999998</v>
      </c>
      <c r="F51" s="12">
        <v>6050.1136529215692</v>
      </c>
      <c r="G51" s="12">
        <f>0.17*configspec[[#This Row],[Dry Mass]]</f>
        <v>1028.5193209966669</v>
      </c>
      <c r="H51">
        <v>0</v>
      </c>
      <c r="I51" s="12">
        <v>101.47200000000001</v>
      </c>
      <c r="J51" s="12">
        <v>25.368000000000002</v>
      </c>
      <c r="K51" s="12">
        <f>configspec[[#This Row],[Max Thrust Power]]+5</f>
        <v>106.47200000000001</v>
      </c>
    </row>
    <row r="52" spans="1:11" x14ac:dyDescent="0.25">
      <c r="A52" t="s">
        <v>54</v>
      </c>
      <c r="B52" s="118" t="s">
        <v>187</v>
      </c>
      <c r="C52" s="2">
        <v>0.60699999999999998</v>
      </c>
      <c r="D52">
        <v>3068</v>
      </c>
      <c r="E52" s="55">
        <v>5.2</v>
      </c>
      <c r="F52" s="12">
        <v>8499.5201239803937</v>
      </c>
      <c r="G52" s="12">
        <f>0.17*configspec[[#This Row],[Dry Mass]]</f>
        <v>1444.9184210766671</v>
      </c>
      <c r="H52">
        <v>0</v>
      </c>
      <c r="I52" s="12">
        <v>128.75200000000001</v>
      </c>
      <c r="J52" s="12">
        <v>32.188000000000002</v>
      </c>
      <c r="K52" s="12">
        <f>configspec[[#This Row],[Max Thrust Power]]+5</f>
        <v>133.75200000000001</v>
      </c>
    </row>
    <row r="53" spans="1:11" x14ac:dyDescent="0.25">
      <c r="A53" t="s">
        <v>46</v>
      </c>
      <c r="B53" s="118" t="s">
        <v>186</v>
      </c>
      <c r="C53" s="2">
        <v>0.60599999999999998</v>
      </c>
      <c r="D53">
        <v>2637</v>
      </c>
      <c r="E53" s="55">
        <v>6.032</v>
      </c>
      <c r="F53" s="12">
        <v>6500.0429475098044</v>
      </c>
      <c r="G53" s="12">
        <f>0.17*configspec[[#This Row],[Dry Mass]]</f>
        <v>1105.0073010766669</v>
      </c>
      <c r="H53">
        <v>0</v>
      </c>
      <c r="I53" s="12">
        <v>128.928</v>
      </c>
      <c r="J53" s="12">
        <v>32.231999999999999</v>
      </c>
      <c r="K53" s="12">
        <f>configspec[[#This Row],[Max Thrust Power]]+5</f>
        <v>133.928</v>
      </c>
    </row>
    <row r="54" spans="1:11" x14ac:dyDescent="0.25">
      <c r="A54" t="s">
        <v>91</v>
      </c>
      <c r="B54" s="118" t="s">
        <v>184</v>
      </c>
      <c r="C54" s="2">
        <v>0.56000000000000005</v>
      </c>
      <c r="D54">
        <v>1979</v>
      </c>
      <c r="E54" s="55">
        <v>7.44</v>
      </c>
      <c r="F54" s="12">
        <v>6500.3850000000002</v>
      </c>
      <c r="G54" s="12">
        <f>0.17*configspec[[#This Row],[Dry Mass]]</f>
        <v>1105.0654500000001</v>
      </c>
      <c r="H54">
        <v>0</v>
      </c>
      <c r="I54" s="12">
        <v>128.96</v>
      </c>
      <c r="J54" s="12">
        <v>32.24</v>
      </c>
      <c r="K54" s="12">
        <f>configspec[[#This Row],[Max Thrust Power]]+5</f>
        <v>133.96</v>
      </c>
    </row>
    <row r="55" spans="1:11" x14ac:dyDescent="0.25">
      <c r="A55" t="s">
        <v>33</v>
      </c>
      <c r="B55" s="118" t="s">
        <v>185</v>
      </c>
      <c r="C55" s="2">
        <v>0.60599999999999998</v>
      </c>
      <c r="D55">
        <v>2217</v>
      </c>
      <c r="E55" s="55">
        <v>7.1840000000000002</v>
      </c>
      <c r="F55" s="12">
        <v>8024.78</v>
      </c>
      <c r="G55" s="12">
        <f>0.17*configspec[[#This Row],[Dry Mass]]</f>
        <v>1364.2126000000001</v>
      </c>
      <c r="H55">
        <v>0</v>
      </c>
      <c r="I55" s="12">
        <v>128.976</v>
      </c>
      <c r="J55" s="12">
        <v>32.244</v>
      </c>
      <c r="K55" s="12">
        <f>configspec[[#This Row],[Max Thrust Power]]+5</f>
        <v>133.976</v>
      </c>
    </row>
    <row r="56" spans="1:11" x14ac:dyDescent="0.25">
      <c r="A56" t="s">
        <v>25</v>
      </c>
      <c r="B56" s="118" t="s">
        <v>185</v>
      </c>
      <c r="C56" s="2">
        <v>0.58399999999999996</v>
      </c>
      <c r="D56">
        <v>2077</v>
      </c>
      <c r="E56" s="55">
        <v>8.32</v>
      </c>
      <c r="F56" s="12">
        <v>11088.09</v>
      </c>
      <c r="G56" s="12">
        <f>0.17*configspec[[#This Row],[Dry Mass]]</f>
        <v>1884.9753000000001</v>
      </c>
      <c r="H56">
        <v>0</v>
      </c>
      <c r="I56" s="12">
        <v>145.184</v>
      </c>
      <c r="J56" s="12">
        <v>18.148</v>
      </c>
      <c r="K56" s="12">
        <f>configspec[[#This Row],[Max Thrust Power]]+5</f>
        <v>150.184</v>
      </c>
    </row>
    <row r="57" spans="1:11" x14ac:dyDescent="0.25">
      <c r="A57" t="s">
        <v>39</v>
      </c>
      <c r="B57" s="118" t="s">
        <v>186</v>
      </c>
      <c r="C57" s="2">
        <v>0.58399999999999996</v>
      </c>
      <c r="D57">
        <v>2696</v>
      </c>
      <c r="E57" s="55">
        <v>6.3360000000000003</v>
      </c>
      <c r="F57" s="12">
        <v>10025.448861817928</v>
      </c>
      <c r="G57" s="12">
        <f>0.17*configspec[[#This Row],[Dry Mass]]</f>
        <v>1704.3263065090478</v>
      </c>
      <c r="H57">
        <v>0</v>
      </c>
      <c r="I57" s="12">
        <v>145.40800000000002</v>
      </c>
      <c r="J57" s="12">
        <v>18.176000000000002</v>
      </c>
      <c r="K57" s="12">
        <f>configspec[[#This Row],[Max Thrust Power]]+5</f>
        <v>150.40800000000002</v>
      </c>
    </row>
    <row r="58" spans="1:11" x14ac:dyDescent="0.25">
      <c r="A58" t="s">
        <v>51</v>
      </c>
      <c r="B58" s="118" t="s">
        <v>187</v>
      </c>
      <c r="C58" s="2">
        <v>0.59199999999999997</v>
      </c>
      <c r="D58">
        <v>3203</v>
      </c>
      <c r="E58" s="55">
        <v>5.5039999999999996</v>
      </c>
      <c r="F58" s="12">
        <v>10027.254979464986</v>
      </c>
      <c r="G58" s="12">
        <f>0.17*configspec[[#This Row],[Dry Mass]]</f>
        <v>1704.6333465090477</v>
      </c>
      <c r="H58">
        <v>0</v>
      </c>
      <c r="I58" s="12">
        <v>146.01599999999999</v>
      </c>
      <c r="J58" s="12">
        <v>18.251999999999999</v>
      </c>
      <c r="K58" s="12">
        <f>configspec[[#This Row],[Max Thrust Power]]+5</f>
        <v>151.01599999999999</v>
      </c>
    </row>
    <row r="59" spans="1:11" x14ac:dyDescent="0.25">
      <c r="A59" t="s">
        <v>98</v>
      </c>
      <c r="B59" s="118" t="s">
        <v>184</v>
      </c>
      <c r="C59" s="2">
        <v>0.56999999999999995</v>
      </c>
      <c r="D59">
        <v>1977</v>
      </c>
      <c r="E59" s="55">
        <v>11.68</v>
      </c>
      <c r="F59" s="12">
        <v>11060</v>
      </c>
      <c r="G59" s="12">
        <f>0.17*configspec[[#This Row],[Dry Mass]]</f>
        <v>1880.2</v>
      </c>
      <c r="H59">
        <v>0</v>
      </c>
      <c r="I59" s="12">
        <v>191.96800000000002</v>
      </c>
      <c r="J59" s="12">
        <v>23.996000000000002</v>
      </c>
      <c r="K59" s="12">
        <f>configspec[[#This Row],[Max Thrust Power]]+5</f>
        <v>196.96800000000002</v>
      </c>
    </row>
    <row r="60" spans="1:11" x14ac:dyDescent="0.25">
      <c r="A60" t="s">
        <v>26</v>
      </c>
      <c r="B60" s="118" t="s">
        <v>185</v>
      </c>
      <c r="C60" s="2">
        <v>0.60599999999999998</v>
      </c>
      <c r="D60">
        <v>2165</v>
      </c>
      <c r="E60" s="55">
        <v>11.488</v>
      </c>
      <c r="F60" s="12">
        <v>16854.439999999999</v>
      </c>
      <c r="G60" s="12">
        <f>0.17*configspec[[#This Row],[Dry Mass]]</f>
        <v>2865.2548000000002</v>
      </c>
      <c r="H60">
        <v>0</v>
      </c>
      <c r="I60" s="12">
        <v>201.44</v>
      </c>
      <c r="J60" s="12">
        <v>25.18</v>
      </c>
      <c r="K60" s="12">
        <f>configspec[[#This Row],[Max Thrust Power]]+5</f>
        <v>206.44</v>
      </c>
    </row>
    <row r="61" spans="1:11" x14ac:dyDescent="0.25">
      <c r="A61" t="s">
        <v>43</v>
      </c>
      <c r="B61" s="118" t="s">
        <v>186</v>
      </c>
      <c r="C61" s="2">
        <v>0.60599999999999998</v>
      </c>
      <c r="D61">
        <v>2583</v>
      </c>
      <c r="E61" s="55">
        <v>9.44</v>
      </c>
      <c r="F61" s="12">
        <v>11091.132992170868</v>
      </c>
      <c r="G61" s="12">
        <f>0.17*configspec[[#This Row],[Dry Mass]]</f>
        <v>1885.4926086690475</v>
      </c>
      <c r="H61">
        <v>0</v>
      </c>
      <c r="I61" s="12">
        <v>202.464</v>
      </c>
      <c r="J61" s="12">
        <v>25.308</v>
      </c>
      <c r="K61" s="12">
        <f>configspec[[#This Row],[Max Thrust Power]]+5</f>
        <v>207.464</v>
      </c>
    </row>
    <row r="62" spans="1:11" x14ac:dyDescent="0.25">
      <c r="A62" t="s">
        <v>59</v>
      </c>
      <c r="B62" s="118" t="s">
        <v>187</v>
      </c>
      <c r="C62" s="2">
        <v>0.57999999999999996</v>
      </c>
      <c r="D62">
        <v>3152</v>
      </c>
      <c r="E62" s="55">
        <v>7.6159999999999997</v>
      </c>
      <c r="F62" s="12">
        <v>15093</v>
      </c>
      <c r="G62" s="12">
        <f>0.17*configspec[[#This Row],[Dry Mass]]</f>
        <v>2565.8100000000004</v>
      </c>
      <c r="H62">
        <v>0</v>
      </c>
      <c r="I62" s="12">
        <v>202.94400000000002</v>
      </c>
      <c r="J62" s="12">
        <v>25.368000000000002</v>
      </c>
      <c r="K62" s="12">
        <f>configspec[[#This Row],[Max Thrust Power]]+5</f>
        <v>207.94400000000002</v>
      </c>
    </row>
    <row r="63" spans="1:11" x14ac:dyDescent="0.25">
      <c r="A63" t="s">
        <v>55</v>
      </c>
      <c r="B63" s="118" t="s">
        <v>187</v>
      </c>
      <c r="C63" s="2">
        <v>0.60699999999999998</v>
      </c>
      <c r="D63">
        <v>3068</v>
      </c>
      <c r="E63" s="55">
        <v>10.4</v>
      </c>
      <c r="F63" s="12">
        <v>20853</v>
      </c>
      <c r="G63" s="12">
        <f>0.17*configspec[[#This Row],[Dry Mass]]</f>
        <v>3545.01</v>
      </c>
      <c r="H63">
        <v>0</v>
      </c>
      <c r="I63" s="12">
        <v>257.50400000000002</v>
      </c>
      <c r="J63" s="12">
        <v>32.188000000000002</v>
      </c>
      <c r="K63" s="12">
        <f>configspec[[#This Row],[Max Thrust Power]]+5</f>
        <v>262.50400000000002</v>
      </c>
    </row>
    <row r="64" spans="1:11" x14ac:dyDescent="0.25">
      <c r="A64" t="s">
        <v>47</v>
      </c>
      <c r="B64" s="118" t="s">
        <v>186</v>
      </c>
      <c r="C64" s="2">
        <v>0.60599999999999998</v>
      </c>
      <c r="D64">
        <v>2637</v>
      </c>
      <c r="E64" s="55">
        <v>12.064</v>
      </c>
      <c r="F64" s="12">
        <v>16854.150659700281</v>
      </c>
      <c r="G64" s="12">
        <f>0.17*configspec[[#This Row],[Dry Mass]]</f>
        <v>2865.2056121490477</v>
      </c>
      <c r="H64">
        <v>0</v>
      </c>
      <c r="I64" s="12">
        <v>257.85599999999999</v>
      </c>
      <c r="J64" s="12">
        <v>32.231999999999999</v>
      </c>
      <c r="K64" s="12">
        <f>configspec[[#This Row],[Max Thrust Power]]+5</f>
        <v>262.85599999999999</v>
      </c>
    </row>
    <row r="65" spans="1:11" x14ac:dyDescent="0.25">
      <c r="A65" t="s">
        <v>100</v>
      </c>
      <c r="B65" s="118" t="s">
        <v>184</v>
      </c>
      <c r="C65" s="2">
        <v>0.56000000000000005</v>
      </c>
      <c r="D65">
        <v>1979</v>
      </c>
      <c r="E65" s="55">
        <v>14.88</v>
      </c>
      <c r="F65" s="12">
        <v>14855</v>
      </c>
      <c r="G65" s="12">
        <f>0.17*configspec[[#This Row],[Dry Mass]]</f>
        <v>2525.3500000000004</v>
      </c>
      <c r="H65">
        <v>0</v>
      </c>
      <c r="I65" s="12">
        <v>257.92</v>
      </c>
      <c r="J65" s="12">
        <v>32.24</v>
      </c>
      <c r="K65" s="12">
        <f>configspec[[#This Row],[Max Thrust Power]]+5</f>
        <v>262.92</v>
      </c>
    </row>
    <row r="66" spans="1:11" x14ac:dyDescent="0.25">
      <c r="A66" t="s">
        <v>27</v>
      </c>
      <c r="B66" s="118" t="s">
        <v>185</v>
      </c>
      <c r="C66" s="2">
        <v>0.60599999999999998</v>
      </c>
      <c r="D66">
        <v>2217</v>
      </c>
      <c r="E66" s="55">
        <v>14.368</v>
      </c>
      <c r="F66" s="12">
        <v>16854.439999999999</v>
      </c>
      <c r="G66" s="12">
        <f>0.17*configspec[[#This Row],[Dry Mass]]</f>
        <v>2865.2548000000002</v>
      </c>
      <c r="H66">
        <v>0</v>
      </c>
      <c r="I66" s="12">
        <v>257.952</v>
      </c>
      <c r="J66" s="12">
        <v>32.244</v>
      </c>
      <c r="K66" s="12">
        <f>configspec[[#This Row],[Max Thrust Power]]+5</f>
        <v>262.952</v>
      </c>
    </row>
    <row r="67" spans="1:11" x14ac:dyDescent="0.25">
      <c r="A67" t="s">
        <v>52</v>
      </c>
      <c r="B67" s="118" t="s">
        <v>187</v>
      </c>
      <c r="C67" s="2">
        <v>0.59199999999999997</v>
      </c>
      <c r="D67">
        <v>3203</v>
      </c>
      <c r="E67" s="55">
        <v>8.2560000000000002</v>
      </c>
      <c r="F67" s="12">
        <v>16713</v>
      </c>
      <c r="G67" s="12">
        <f>0.17*configspec[[#This Row],[Dry Mass]]</f>
        <v>2841.21</v>
      </c>
      <c r="H67">
        <v>0</v>
      </c>
      <c r="I67" s="12">
        <v>219.024</v>
      </c>
      <c r="J67" s="12">
        <v>18.251999999999999</v>
      </c>
      <c r="K67" s="12">
        <f>configspec[[#This Row],[Max Thrust Power]]+5</f>
        <v>224.024</v>
      </c>
    </row>
    <row r="68" spans="1:11" x14ac:dyDescent="0.25">
      <c r="A68" t="s">
        <v>36</v>
      </c>
      <c r="B68" s="118" t="s">
        <v>185</v>
      </c>
      <c r="C68" s="2">
        <v>0.60599999999999998</v>
      </c>
      <c r="D68">
        <v>2165</v>
      </c>
      <c r="E68" s="55">
        <v>17.231999999999999</v>
      </c>
      <c r="F68" s="12">
        <v>19279.183613067227</v>
      </c>
      <c r="G68" s="12">
        <f>0.17*configspec[[#This Row],[Dry Mass]]</f>
        <v>3277.4612142214287</v>
      </c>
      <c r="H68">
        <v>0</v>
      </c>
      <c r="I68" s="12">
        <v>302.16000000000003</v>
      </c>
      <c r="J68" s="12">
        <v>25.18</v>
      </c>
      <c r="K68" s="12">
        <f>configspec[[#This Row],[Max Thrust Power]]+5</f>
        <v>307.16000000000003</v>
      </c>
    </row>
    <row r="69" spans="1:11" x14ac:dyDescent="0.25">
      <c r="A69" t="s">
        <v>44</v>
      </c>
      <c r="B69" s="118" t="s">
        <v>186</v>
      </c>
      <c r="C69" s="2">
        <v>0.60599999999999998</v>
      </c>
      <c r="D69">
        <v>2583</v>
      </c>
      <c r="E69" s="55">
        <v>14.16</v>
      </c>
      <c r="F69" s="12">
        <v>23283.746436596637</v>
      </c>
      <c r="G69" s="12">
        <f>0.17*configspec[[#This Row],[Dry Mass]]</f>
        <v>3958.2368942214284</v>
      </c>
      <c r="H69">
        <v>0</v>
      </c>
      <c r="I69" s="12">
        <v>303.69600000000003</v>
      </c>
      <c r="J69" s="12">
        <v>25.308</v>
      </c>
      <c r="K69" s="12">
        <f>configspec[[#This Row],[Max Thrust Power]]+5</f>
        <v>308.69600000000003</v>
      </c>
    </row>
    <row r="70" spans="1:11" x14ac:dyDescent="0.25">
      <c r="A70" t="s">
        <v>77</v>
      </c>
      <c r="B70" s="118" t="s">
        <v>187</v>
      </c>
      <c r="C70" s="2">
        <v>0.57999999999999996</v>
      </c>
      <c r="D70">
        <v>3152</v>
      </c>
      <c r="E70" s="55">
        <v>11.423999999999999</v>
      </c>
      <c r="F70" s="12">
        <v>27286</v>
      </c>
      <c r="G70" s="12">
        <f>0.17*configspec[[#This Row],[Dry Mass]]</f>
        <v>4638.62</v>
      </c>
      <c r="H70">
        <v>0</v>
      </c>
      <c r="I70" s="12">
        <v>304.416</v>
      </c>
      <c r="J70" s="12">
        <v>25.368000000000002</v>
      </c>
      <c r="K70" s="12">
        <f>configspec[[#This Row],[Max Thrust Power]]+5</f>
        <v>309.416</v>
      </c>
    </row>
    <row r="71" spans="1:11" x14ac:dyDescent="0.25">
      <c r="A71" t="s">
        <v>56</v>
      </c>
      <c r="B71" s="118" t="s">
        <v>187</v>
      </c>
      <c r="C71" s="2">
        <v>0.60699999999999998</v>
      </c>
      <c r="D71">
        <v>3068</v>
      </c>
      <c r="E71" s="55">
        <v>15.600000000000001</v>
      </c>
      <c r="F71" s="12">
        <v>38346</v>
      </c>
      <c r="G71" s="12">
        <f>0.17*configspec[[#This Row],[Dry Mass]]</f>
        <v>6518.8200000000006</v>
      </c>
      <c r="H71">
        <v>0</v>
      </c>
      <c r="I71" s="12">
        <v>386.25600000000003</v>
      </c>
      <c r="J71" s="12">
        <v>32.188000000000002</v>
      </c>
      <c r="K71" s="12">
        <f>configspec[[#This Row],[Max Thrust Power]]+5</f>
        <v>391.25600000000003</v>
      </c>
    </row>
    <row r="72" spans="1:11" x14ac:dyDescent="0.25">
      <c r="A72" t="s">
        <v>48</v>
      </c>
      <c r="B72" s="118" t="s">
        <v>186</v>
      </c>
      <c r="C72" s="2">
        <v>0.60599999999999998</v>
      </c>
      <c r="D72">
        <v>2637</v>
      </c>
      <c r="E72" s="55">
        <v>18.096</v>
      </c>
      <c r="F72" s="12">
        <v>30347.729583890756</v>
      </c>
      <c r="G72" s="12">
        <f>0.17*configspec[[#This Row],[Dry Mass]]</f>
        <v>5159.1140292614291</v>
      </c>
      <c r="H72">
        <v>0</v>
      </c>
      <c r="I72" s="12">
        <v>386.78399999999999</v>
      </c>
      <c r="J72" s="12">
        <v>32.231999999999999</v>
      </c>
      <c r="K72" s="12">
        <f>configspec[[#This Row],[Max Thrust Power]]+5</f>
        <v>391.78399999999999</v>
      </c>
    </row>
    <row r="73" spans="1:11" x14ac:dyDescent="0.25">
      <c r="A73" t="s">
        <v>95</v>
      </c>
      <c r="B73" s="118" t="s">
        <v>184</v>
      </c>
      <c r="C73" s="2">
        <v>0.56000000000000005</v>
      </c>
      <c r="D73">
        <v>1979</v>
      </c>
      <c r="E73" s="55">
        <v>22.32</v>
      </c>
      <c r="F73" s="12">
        <v>26348</v>
      </c>
      <c r="G73" s="12">
        <f>0.17*configspec[[#This Row],[Dry Mass]]</f>
        <v>4479.1600000000008</v>
      </c>
      <c r="H73">
        <v>0</v>
      </c>
      <c r="I73" s="12">
        <v>386.88</v>
      </c>
      <c r="J73" s="12">
        <v>32.24</v>
      </c>
      <c r="K73" s="12">
        <f>configspec[[#This Row],[Max Thrust Power]]+5</f>
        <v>391.88</v>
      </c>
    </row>
    <row r="74" spans="1:11" x14ac:dyDescent="0.25">
      <c r="A74" t="s">
        <v>37</v>
      </c>
      <c r="B74" s="118" t="s">
        <v>185</v>
      </c>
      <c r="C74" s="2">
        <v>0.60599999999999998</v>
      </c>
      <c r="D74">
        <v>2217</v>
      </c>
      <c r="E74" s="55">
        <v>21.552</v>
      </c>
      <c r="F74" s="12">
        <v>26348.15734859664</v>
      </c>
      <c r="G74" s="12">
        <f>0.17*configspec[[#This Row],[Dry Mass]]</f>
        <v>4479.1867492614292</v>
      </c>
      <c r="H74">
        <v>0</v>
      </c>
      <c r="I74" s="12">
        <v>386.928</v>
      </c>
      <c r="J74" s="12">
        <v>32.244</v>
      </c>
      <c r="K74" s="12">
        <f>configspec[[#This Row],[Max Thrust Power]]+5</f>
        <v>391.928</v>
      </c>
    </row>
    <row r="75" spans="1:11" x14ac:dyDescent="0.25">
      <c r="A75" t="s">
        <v>41</v>
      </c>
      <c r="B75" s="118" t="s">
        <v>186</v>
      </c>
      <c r="C75" s="2">
        <v>0.58399999999999996</v>
      </c>
      <c r="D75">
        <v>2696</v>
      </c>
      <c r="E75" s="55">
        <v>12.672000000000001</v>
      </c>
      <c r="F75" s="12">
        <v>24321.675736316527</v>
      </c>
      <c r="G75" s="12">
        <f>0.17*configspec[[#This Row],[Dry Mass]]</f>
        <v>4134.6848751738098</v>
      </c>
      <c r="H75">
        <v>0</v>
      </c>
      <c r="I75" s="12">
        <v>290.81600000000003</v>
      </c>
      <c r="J75" s="12">
        <v>18.176000000000002</v>
      </c>
      <c r="K75" s="12">
        <f>configspec[[#This Row],[Max Thrust Power]]+5</f>
        <v>295.81600000000003</v>
      </c>
    </row>
    <row r="76" spans="1:11" x14ac:dyDescent="0.25">
      <c r="A76" t="s">
        <v>53</v>
      </c>
      <c r="B76" s="118" t="s">
        <v>187</v>
      </c>
      <c r="C76" s="2">
        <v>0.59199999999999997</v>
      </c>
      <c r="D76">
        <v>3203</v>
      </c>
      <c r="E76" s="55">
        <v>11.007999999999999</v>
      </c>
      <c r="F76" s="12">
        <v>28326</v>
      </c>
      <c r="G76" s="12">
        <f>0.17*configspec[[#This Row],[Dry Mass]]</f>
        <v>4815.42</v>
      </c>
      <c r="H76">
        <v>0</v>
      </c>
      <c r="I76" s="12">
        <v>292.03199999999998</v>
      </c>
      <c r="J76" s="12">
        <v>18.251999999999999</v>
      </c>
      <c r="K76" s="12">
        <f>configspec[[#This Row],[Max Thrust Power]]+5</f>
        <v>297.03199999999998</v>
      </c>
    </row>
    <row r="77" spans="1:11" x14ac:dyDescent="0.25">
      <c r="A77" t="s">
        <v>97</v>
      </c>
      <c r="B77" s="118" t="s">
        <v>184</v>
      </c>
      <c r="C77" s="2">
        <v>0.56999999999999995</v>
      </c>
      <c r="D77">
        <v>1977</v>
      </c>
      <c r="E77" s="55">
        <v>23.36</v>
      </c>
      <c r="F77" s="12">
        <v>27415</v>
      </c>
      <c r="G77" s="12">
        <f>0.17*configspec[[#This Row],[Dry Mass]]</f>
        <v>4660.55</v>
      </c>
      <c r="H77">
        <v>0</v>
      </c>
      <c r="I77" s="12">
        <v>383.93600000000004</v>
      </c>
      <c r="J77" s="12">
        <v>23.996000000000002</v>
      </c>
      <c r="K77" s="12">
        <f>configspec[[#This Row],[Max Thrust Power]]+5</f>
        <v>388.93600000000004</v>
      </c>
    </row>
    <row r="78" spans="1:11" x14ac:dyDescent="0.25">
      <c r="A78" t="s">
        <v>28</v>
      </c>
      <c r="B78" s="118" t="s">
        <v>185</v>
      </c>
      <c r="C78" s="2">
        <v>0.60599999999999998</v>
      </c>
      <c r="D78">
        <v>2165</v>
      </c>
      <c r="E78" s="55">
        <v>22.975999999999999</v>
      </c>
      <c r="F78" s="12">
        <v>32255.760000000002</v>
      </c>
      <c r="G78" s="12">
        <f>0.17*configspec[[#This Row],[Dry Mass]]</f>
        <v>5483.4792000000007</v>
      </c>
      <c r="H78">
        <v>0</v>
      </c>
      <c r="I78" s="12">
        <v>402.88</v>
      </c>
      <c r="J78" s="12">
        <v>25.18</v>
      </c>
      <c r="K78" s="12">
        <f>configspec[[#This Row],[Max Thrust Power]]+5</f>
        <v>407.88</v>
      </c>
    </row>
    <row r="79" spans="1:11" x14ac:dyDescent="0.25">
      <c r="A79" t="s">
        <v>45</v>
      </c>
      <c r="B79" s="118" t="s">
        <v>186</v>
      </c>
      <c r="C79" s="2">
        <v>0.60599999999999998</v>
      </c>
      <c r="D79">
        <v>2583</v>
      </c>
      <c r="E79" s="55">
        <v>18.88</v>
      </c>
      <c r="F79" s="12">
        <v>32261.83744102241</v>
      </c>
      <c r="G79" s="12">
        <f>0.17*configspec[[#This Row],[Dry Mass]]</f>
        <v>5484.5123649738098</v>
      </c>
      <c r="H79">
        <v>0</v>
      </c>
      <c r="I79" s="12">
        <v>404.928</v>
      </c>
      <c r="J79" s="12">
        <v>25.308</v>
      </c>
      <c r="K79" s="12">
        <f>configspec[[#This Row],[Max Thrust Power]]+5</f>
        <v>409.928</v>
      </c>
    </row>
    <row r="80" spans="1:11" x14ac:dyDescent="0.25">
      <c r="A80" t="s">
        <v>60</v>
      </c>
      <c r="B80" s="118" t="s">
        <v>187</v>
      </c>
      <c r="C80" s="2">
        <v>0.57999999999999996</v>
      </c>
      <c r="D80">
        <v>3152</v>
      </c>
      <c r="E80" s="55">
        <v>15.231999999999999</v>
      </c>
      <c r="F80" s="12">
        <v>40265</v>
      </c>
      <c r="G80" s="12">
        <f>0.17*configspec[[#This Row],[Dry Mass]]</f>
        <v>6845.05</v>
      </c>
      <c r="H80">
        <v>0</v>
      </c>
      <c r="I80" s="12">
        <v>405.88800000000003</v>
      </c>
      <c r="J80" s="12">
        <v>25.368000000000002</v>
      </c>
      <c r="K80" s="12">
        <f>configspec[[#This Row],[Max Thrust Power]]+5</f>
        <v>410.88800000000003</v>
      </c>
    </row>
    <row r="81" spans="1:11" x14ac:dyDescent="0.25">
      <c r="A81" t="s">
        <v>57</v>
      </c>
      <c r="B81" s="118" t="s">
        <v>187</v>
      </c>
      <c r="C81" s="2">
        <v>0.60699999999999998</v>
      </c>
      <c r="D81">
        <v>3068</v>
      </c>
      <c r="E81" s="55">
        <v>20.8</v>
      </c>
      <c r="F81" s="12">
        <v>57015</v>
      </c>
      <c r="G81" s="12">
        <f>0.17*configspec[[#This Row],[Dry Mass]]</f>
        <v>9692.5500000000011</v>
      </c>
      <c r="H81">
        <v>0</v>
      </c>
      <c r="I81" s="12">
        <v>515.00800000000004</v>
      </c>
      <c r="J81" s="12">
        <v>32.188000000000002</v>
      </c>
      <c r="K81" s="12">
        <f>configspec[[#This Row],[Max Thrust Power]]+5</f>
        <v>520.00800000000004</v>
      </c>
    </row>
    <row r="82" spans="1:11" x14ac:dyDescent="0.25">
      <c r="A82" t="s">
        <v>49</v>
      </c>
      <c r="B82" s="118" t="s">
        <v>186</v>
      </c>
      <c r="C82" s="2">
        <v>0.60599999999999998</v>
      </c>
      <c r="D82">
        <v>2637</v>
      </c>
      <c r="E82" s="55">
        <v>24.128</v>
      </c>
      <c r="F82" s="12">
        <v>45017.147128081233</v>
      </c>
      <c r="G82" s="12">
        <f>0.17*configspec[[#This Row],[Dry Mass]]</f>
        <v>7652.91501177381</v>
      </c>
      <c r="H82">
        <v>0</v>
      </c>
      <c r="I82" s="12">
        <v>515.71199999999999</v>
      </c>
      <c r="J82" s="12">
        <v>32.231999999999999</v>
      </c>
      <c r="K82" s="12">
        <f>configspec[[#This Row],[Max Thrust Power]]+5</f>
        <v>520.71199999999999</v>
      </c>
    </row>
    <row r="83" spans="1:11" x14ac:dyDescent="0.25">
      <c r="A83" t="s">
        <v>99</v>
      </c>
      <c r="B83" s="118" t="s">
        <v>184</v>
      </c>
      <c r="C83" s="2">
        <v>0.56000000000000005</v>
      </c>
      <c r="D83">
        <v>1979</v>
      </c>
      <c r="E83" s="55">
        <v>29.76</v>
      </c>
      <c r="F83" s="12">
        <v>37017</v>
      </c>
      <c r="G83" s="12">
        <f>0.17*configspec[[#This Row],[Dry Mass]]</f>
        <v>6292.89</v>
      </c>
      <c r="H83">
        <v>0</v>
      </c>
      <c r="I83" s="12">
        <v>515.84</v>
      </c>
      <c r="J83" s="12">
        <v>32.24</v>
      </c>
      <c r="K83" s="12">
        <f>configspec[[#This Row],[Max Thrust Power]]+5</f>
        <v>520.84</v>
      </c>
    </row>
    <row r="84" spans="1:11" x14ac:dyDescent="0.25">
      <c r="A84" t="s">
        <v>29</v>
      </c>
      <c r="B84" s="118" t="s">
        <v>185</v>
      </c>
      <c r="C84" s="2">
        <v>0.60599999999999998</v>
      </c>
      <c r="D84">
        <v>2217</v>
      </c>
      <c r="E84" s="55">
        <v>28.736000000000001</v>
      </c>
      <c r="F84" s="12">
        <v>45017.72</v>
      </c>
      <c r="G84" s="12">
        <f>0.17*configspec[[#This Row],[Dry Mass]]</f>
        <v>7653.0124000000005</v>
      </c>
      <c r="H84">
        <v>0</v>
      </c>
      <c r="I84" s="12">
        <v>515.904</v>
      </c>
      <c r="J84" s="12">
        <v>32.244</v>
      </c>
      <c r="K84" s="12">
        <f>configspec[[#This Row],[Max Thrust Power]]+5</f>
        <v>520.904</v>
      </c>
    </row>
  </sheetData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079BD-1C7D-4865-9E56-9012C94C0161}">
  <sheetPr>
    <pageSetUpPr fitToPage="1"/>
  </sheetPr>
  <dimension ref="A1:AT48"/>
  <sheetViews>
    <sheetView zoomScale="80" zoomScaleNormal="80" workbookViewId="0">
      <pane xSplit="4365" ySplit="960" topLeftCell="E7" activePane="bottomRight"/>
      <selection pane="topRight" activeCell="B1" sqref="B1:B1048576"/>
      <selection pane="bottomLeft" activeCell="B2" sqref="B2"/>
      <selection pane="bottomRight" activeCell="Z7" sqref="Z7"/>
    </sheetView>
  </sheetViews>
  <sheetFormatPr defaultRowHeight="15" x14ac:dyDescent="0.25"/>
  <cols>
    <col min="1" max="1" width="17.28515625" customWidth="1"/>
    <col min="2" max="2" width="9.140625" style="54"/>
    <col min="3" max="13" width="10.7109375" customWidth="1"/>
    <col min="23" max="23" width="13" bestFit="1" customWidth="1"/>
    <col min="24" max="25" width="11.28515625" customWidth="1"/>
    <col min="26" max="26" width="12.7109375" bestFit="1" customWidth="1"/>
    <col min="30" max="30" width="16.7109375" customWidth="1"/>
    <col min="31" max="31" width="11.140625" customWidth="1"/>
    <col min="34" max="34" width="16.7109375" customWidth="1"/>
    <col min="35" max="35" width="15.42578125" customWidth="1"/>
    <col min="36" max="36" width="16.7109375" customWidth="1"/>
    <col min="37" max="39" width="13" bestFit="1" customWidth="1"/>
    <col min="40" max="46" width="14.28515625" bestFit="1" customWidth="1"/>
  </cols>
  <sheetData>
    <row r="1" spans="1:46" ht="45" x14ac:dyDescent="0.25">
      <c r="A1" s="42" t="s">
        <v>4</v>
      </c>
      <c r="B1" s="47" t="s">
        <v>112</v>
      </c>
      <c r="C1" s="43" t="s">
        <v>75</v>
      </c>
      <c r="D1" s="43" t="s">
        <v>88</v>
      </c>
      <c r="E1" s="43" t="s">
        <v>15</v>
      </c>
      <c r="F1" s="43" t="s">
        <v>63</v>
      </c>
      <c r="G1" s="44" t="s">
        <v>61</v>
      </c>
      <c r="H1" s="44" t="s">
        <v>62</v>
      </c>
      <c r="I1" s="43" t="s">
        <v>87</v>
      </c>
      <c r="J1" s="18" t="s">
        <v>73</v>
      </c>
      <c r="K1" s="43" t="s">
        <v>74</v>
      </c>
      <c r="L1" s="43" t="s">
        <v>76</v>
      </c>
      <c r="M1" s="43" t="s">
        <v>24</v>
      </c>
      <c r="N1" s="48" t="s">
        <v>81</v>
      </c>
      <c r="O1" s="48" t="s">
        <v>82</v>
      </c>
      <c r="P1" s="48" t="s">
        <v>83</v>
      </c>
      <c r="Q1" s="48" t="s">
        <v>80</v>
      </c>
      <c r="R1" s="47" t="s">
        <v>79</v>
      </c>
      <c r="S1" s="47" t="s">
        <v>148</v>
      </c>
      <c r="T1" s="47" t="s">
        <v>156</v>
      </c>
      <c r="U1" s="47" t="s">
        <v>157</v>
      </c>
      <c r="V1" s="47" t="s">
        <v>155</v>
      </c>
      <c r="W1" s="47" t="s">
        <v>149</v>
      </c>
      <c r="X1" s="47" t="s">
        <v>150</v>
      </c>
      <c r="Y1" s="47" t="s">
        <v>158</v>
      </c>
      <c r="Z1" s="47" t="s">
        <v>153</v>
      </c>
      <c r="AA1" s="47" t="s">
        <v>154</v>
      </c>
      <c r="AB1" s="47" t="s">
        <v>159</v>
      </c>
      <c r="AC1" s="47" t="s">
        <v>159</v>
      </c>
      <c r="AD1" s="43" t="s">
        <v>4</v>
      </c>
      <c r="AE1" s="43" t="s">
        <v>2</v>
      </c>
      <c r="AF1" s="43" t="s">
        <v>160</v>
      </c>
      <c r="AG1" s="43" t="s">
        <v>161</v>
      </c>
      <c r="AH1" s="43" t="s">
        <v>162</v>
      </c>
      <c r="AI1" s="43" t="s">
        <v>174</v>
      </c>
      <c r="AJ1" s="47" t="s">
        <v>113</v>
      </c>
      <c r="AK1" s="47" t="s">
        <v>163</v>
      </c>
      <c r="AL1" s="47" t="s">
        <v>164</v>
      </c>
      <c r="AM1" s="47" t="s">
        <v>165</v>
      </c>
      <c r="AN1" s="47" t="s">
        <v>166</v>
      </c>
      <c r="AO1" s="47" t="s">
        <v>167</v>
      </c>
      <c r="AP1" s="47" t="s">
        <v>168</v>
      </c>
      <c r="AQ1" s="47" t="s">
        <v>169</v>
      </c>
      <c r="AR1" s="47" t="s">
        <v>170</v>
      </c>
      <c r="AS1" s="47" t="s">
        <v>171</v>
      </c>
      <c r="AT1" s="47" t="s">
        <v>172</v>
      </c>
    </row>
    <row r="2" spans="1:46" x14ac:dyDescent="0.25">
      <c r="A2" s="23" t="s">
        <v>50</v>
      </c>
      <c r="B2" s="54">
        <v>800</v>
      </c>
      <c r="C2" s="12">
        <f>'800V Set-points'!I2</f>
        <v>2000</v>
      </c>
      <c r="D2" s="12">
        <f>'800V Set-points'!L2</f>
        <v>7427.0031590531507</v>
      </c>
      <c r="E2" s="12">
        <f>'800V Set-points'!B2</f>
        <v>73.007999999999996</v>
      </c>
      <c r="F2" s="55">
        <f>'800V Set-points'!D2</f>
        <v>2.7519999999999998</v>
      </c>
      <c r="G2" s="2">
        <f>'800V Set-points'!E2</f>
        <v>0.59199999999999997</v>
      </c>
      <c r="H2" s="12">
        <f>'800V Set-points'!F2</f>
        <v>3203</v>
      </c>
      <c r="I2" s="12">
        <f>'800V Set-points'!K2</f>
        <v>2107.9351936609933</v>
      </c>
      <c r="J2" s="12">
        <f>'800V Set-points'!G2</f>
        <v>2066.335</v>
      </c>
      <c r="K2" s="12">
        <f>'800V Set-points'!H2</f>
        <v>1252.7329653921568</v>
      </c>
      <c r="L2" s="12">
        <f>'800V Set-points'!J2</f>
        <v>5319.067965392157</v>
      </c>
      <c r="M2" s="41">
        <f>'800V Set-points'!O2</f>
        <v>-2.3025928334978601E-2</v>
      </c>
      <c r="N2" s="12">
        <f>'800V Set-points'!R2</f>
        <v>16</v>
      </c>
      <c r="O2" s="12">
        <f>'800V Set-points'!S2</f>
        <v>4563</v>
      </c>
      <c r="P2" s="41">
        <f>'800V Set-points'!T2</f>
        <v>0.17199999999999999</v>
      </c>
      <c r="Q2" s="2">
        <f>'800V Set-points'!W2</f>
        <v>0.16679162221435107</v>
      </c>
      <c r="R2" s="12">
        <f>'800V Set-points'!X2</f>
        <v>12638.135930784314</v>
      </c>
      <c r="S2">
        <f t="shared" ref="S2:S48" si="0">F2/D2</f>
        <v>3.7053976429853101E-4</v>
      </c>
      <c r="T2" s="12">
        <f t="shared" ref="T2:T48" si="1">(L2-C2)*Q2</f>
        <v>553.59273018744352</v>
      </c>
      <c r="U2" s="12">
        <f t="shared" ref="U2:U48" si="2">T2+J2+K2</f>
        <v>3872.6606955796005</v>
      </c>
      <c r="V2">
        <f t="shared" ref="V2:V48" si="3">F2/U2</f>
        <v>7.1062254515125362E-4</v>
      </c>
      <c r="W2">
        <f t="shared" ref="W2:W48" si="4">-F2/(H2*g0)</f>
        <v>-8.7613903407034093E-5</v>
      </c>
      <c r="X2">
        <f t="shared" ref="X2:X48" si="5">W2/D2</f>
        <v>-1.1796669737542398E-8</v>
      </c>
      <c r="Y2">
        <f>W2/U2</f>
        <v>-2.2623697321854164E-8</v>
      </c>
      <c r="Z2" s="12">
        <f t="shared" ref="Z2:Z48" si="6">ABS((1/X2)*(1-EXP((X2*Inclination1)/S2)))</f>
        <v>76879.93861150337</v>
      </c>
      <c r="AA2" s="55">
        <f>Z2/(24*3600)</f>
        <v>0.88981410429980756</v>
      </c>
      <c r="AB2" s="12">
        <f>ABS((1/Y2)*(1-EXP((Y2*'Mission Params'!$B$13)/V2)))</f>
        <v>6320574.8660221901</v>
      </c>
      <c r="AC2">
        <f>AB2/(24*3600)</f>
        <v>73.15480169007165</v>
      </c>
      <c r="AD2" t="str">
        <f t="shared" ref="AD2:AD48" si="7">A2</f>
        <v>16 HET 4563W</v>
      </c>
      <c r="AE2">
        <f t="shared" ref="AE2:AE48" si="8">C2</f>
        <v>2000</v>
      </c>
      <c r="AF2" s="55">
        <f>AA2+AC2</f>
        <v>74.044615794371452</v>
      </c>
      <c r="AG2" s="55">
        <f t="shared" ref="AG2:AG48" si="9">365/(AF2+Provision_Period)</f>
        <v>4.1456254503109982</v>
      </c>
      <c r="AH2" s="59">
        <f t="shared" ref="AH2:AH48" si="10">C2*Revenue_Per_PL/1000000</f>
        <v>75</v>
      </c>
      <c r="AI2" s="65" t="e">
        <f t="shared" ref="AI2:AI48" si="11">IRR(AJ2:AT2)</f>
        <v>#NUM!</v>
      </c>
      <c r="AJ2" s="59">
        <v>-2000</v>
      </c>
      <c r="AK2" s="64">
        <f>$AH2-'Cost of Sales'!H$15-(I2*Launch_Cost)</f>
        <v>-186.99087434066465</v>
      </c>
      <c r="AL2" s="64">
        <f>$AH2-'Cost of Sales'!I$15-(J2*Launch_Cost)</f>
        <v>-194.67806113210031</v>
      </c>
      <c r="AM2" s="64">
        <f>$AH2-'Cost of Sales'!J$15-(K2*Launch_Cost)</f>
        <v>-201.32738151020402</v>
      </c>
      <c r="AN2" s="64">
        <f>$AH2-'Cost of Sales'!K$15-(L2*Launch_Cost)</f>
        <v>-216.2475958420151</v>
      </c>
      <c r="AO2" s="64">
        <f>$AH2-'Cost of Sales'!L$15-(D2*Launch_Cost)</f>
        <v>-228.19157749852036</v>
      </c>
      <c r="AP2" s="64">
        <f>$AH2-'Cost of Sales'!M$15-(M2*Launch_Cost)</f>
        <v>-224.69746887717392</v>
      </c>
      <c r="AQ2" s="64">
        <f>$AH2-'Cost of Sales'!N$15-(N2*Launch_Cost)</f>
        <v>-233.71476426408708</v>
      </c>
      <c r="AR2" s="64">
        <f>$AH2-'Cost of Sales'!O$15-(O2*Launch_Cost)</f>
        <v>-250.45872443338902</v>
      </c>
      <c r="AS2" s="64">
        <f>$AH2-'Cost of Sales'!P$15-(P2*Launch_Cost)</f>
        <v>-252.48784055510541</v>
      </c>
      <c r="AT2" s="64">
        <f>$AH2-'Cost of Sales'!Q$15-(Q2*Launch_Cost)</f>
        <v>-262.31245870781396</v>
      </c>
    </row>
    <row r="3" spans="1:46" x14ac:dyDescent="0.25">
      <c r="A3" s="23" t="s">
        <v>42</v>
      </c>
      <c r="B3" s="54">
        <v>600</v>
      </c>
      <c r="C3" s="12">
        <f>'600V Set-points'!I5</f>
        <v>2000</v>
      </c>
      <c r="D3" s="12">
        <f>'600V Set-points'!L5</f>
        <v>9021.4814022781466</v>
      </c>
      <c r="E3" s="12">
        <f>'600V Set-points'!B5</f>
        <v>101.232</v>
      </c>
      <c r="F3" s="55">
        <f>'600V Set-points'!D5</f>
        <v>4.72</v>
      </c>
      <c r="G3" s="2">
        <f>'600V Set-points'!E5</f>
        <v>0.60599999999999998</v>
      </c>
      <c r="H3" s="12">
        <f>'600V Set-points'!F5</f>
        <v>2583</v>
      </c>
      <c r="I3" s="12">
        <f>'600V Set-points'!K5</f>
        <v>2972.0806905330473</v>
      </c>
      <c r="J3" s="12">
        <f>'600V Set-points'!G5</f>
        <v>2102.7600000000002</v>
      </c>
      <c r="K3" s="12">
        <f>'600V Set-points'!H5</f>
        <v>1946.6407117450981</v>
      </c>
      <c r="L3" s="12">
        <f>'600V Set-points'!J5</f>
        <v>6049.4007117450983</v>
      </c>
      <c r="M3" s="41">
        <f>'600V Set-points'!O5</f>
        <v>-3.8046040715901119E-3</v>
      </c>
      <c r="N3" s="12">
        <f>'600V Set-points'!R5</f>
        <v>16</v>
      </c>
      <c r="O3" s="12">
        <f>'600V Set-points'!S5</f>
        <v>6327</v>
      </c>
      <c r="P3" s="41">
        <f>'600V Set-points'!T5</f>
        <v>0.29499999999999998</v>
      </c>
      <c r="Q3" s="2">
        <f>'600V Set-points'!W5</f>
        <v>0.21080378404232469</v>
      </c>
      <c r="R3" s="12">
        <f>'600V Set-points'!X5</f>
        <v>14098.801423490197</v>
      </c>
      <c r="S3">
        <f t="shared" si="0"/>
        <v>5.2319566926204417E-4</v>
      </c>
      <c r="T3" s="12">
        <f t="shared" si="1"/>
        <v>853.62899313954961</v>
      </c>
      <c r="U3" s="12">
        <f t="shared" si="2"/>
        <v>4903.0297048846478</v>
      </c>
      <c r="V3">
        <f t="shared" si="3"/>
        <v>9.6267008035821108E-4</v>
      </c>
      <c r="W3">
        <f t="shared" si="4"/>
        <v>-1.8633701374991089E-4</v>
      </c>
      <c r="X3">
        <f t="shared" si="5"/>
        <v>-2.0654813266350713E-8</v>
      </c>
      <c r="Y3">
        <f t="shared" ref="Y3:Y48" si="12">W3/U3</f>
        <v>-3.8004463559393177E-8</v>
      </c>
      <c r="Z3" s="12">
        <f t="shared" si="6"/>
        <v>54442.294935974802</v>
      </c>
      <c r="AA3" s="55">
        <f t="shared" ref="AA3:AA48" si="13">Z3/(24*3600)</f>
        <v>0.63011915435156018</v>
      </c>
      <c r="AB3" s="12">
        <f>ABS((1/Y3)*(1-EXP((Y3*'Mission Params'!$B$13)/V3)))</f>
        <v>4582543.8572318722</v>
      </c>
      <c r="AC3">
        <f t="shared" ref="AC3:AC48" si="14">AB3/(24*3600)</f>
        <v>53.03870205129482</v>
      </c>
      <c r="AD3" t="str">
        <f t="shared" si="7"/>
        <v>16 HET 6327W</v>
      </c>
      <c r="AE3">
        <f t="shared" si="8"/>
        <v>2000</v>
      </c>
      <c r="AF3" s="55">
        <f t="shared" ref="AF3:AF48" si="15">AA3+AC3</f>
        <v>53.668821205646381</v>
      </c>
      <c r="AG3" s="55">
        <f t="shared" si="9"/>
        <v>5.3939169250600729</v>
      </c>
      <c r="AH3" s="59">
        <f t="shared" si="10"/>
        <v>75</v>
      </c>
      <c r="AI3" s="65" t="e">
        <f t="shared" si="11"/>
        <v>#NUM!</v>
      </c>
      <c r="AJ3" s="59">
        <v>-2000</v>
      </c>
      <c r="AK3" s="64">
        <f>$AH3-'Cost of Sales'!H$15-(I3*Launch_Cost)</f>
        <v>-188.41305736843213</v>
      </c>
      <c r="AL3" s="64">
        <f>$AH3-'Cost of Sales'!I$15-(J3*Launch_Cost)</f>
        <v>-194.73800823241379</v>
      </c>
      <c r="AM3" s="64">
        <f>$AH3-'Cost of Sales'!J$15-(K3*Launch_Cost)</f>
        <v>-202.46939269150587</v>
      </c>
      <c r="AN3" s="64">
        <f>$AH3-'Cost of Sales'!K$15-(L3*Launch_Cost)</f>
        <v>-217.44955412363043</v>
      </c>
      <c r="AO3" s="64">
        <f>$AH3-'Cost of Sales'!L$15-(D3*Launch_Cost)</f>
        <v>-230.81571880790318</v>
      </c>
      <c r="AP3" s="64">
        <f>$AH3-'Cost of Sales'!M$15-(M3*Launch_Cost)</f>
        <v>-224.69750051101477</v>
      </c>
      <c r="AQ3" s="64">
        <f>$AH3-'Cost of Sales'!N$15-(N3*Launch_Cost)</f>
        <v>-233.71476426408708</v>
      </c>
      <c r="AR3" s="64">
        <f>$AH3-'Cost of Sales'!O$15-(O3*Launch_Cost)</f>
        <v>-253.36185922962727</v>
      </c>
      <c r="AS3" s="64">
        <f>$AH3-'Cost of Sales'!P$15-(P3*Launch_Cost)</f>
        <v>-252.4880429845725</v>
      </c>
      <c r="AT3" s="64">
        <f>$AH3-'Cost of Sales'!Q$15-(Q3*Launch_Cost)</f>
        <v>-262.31253114162257</v>
      </c>
    </row>
    <row r="4" spans="1:46" x14ac:dyDescent="0.25">
      <c r="A4" s="23" t="s">
        <v>58</v>
      </c>
      <c r="B4" s="54">
        <v>800</v>
      </c>
      <c r="C4" s="12">
        <f>'800V Set-points'!I5</f>
        <v>2000</v>
      </c>
      <c r="D4" s="12">
        <f>'800V Set-points'!L5</f>
        <v>8443.027705891629</v>
      </c>
      <c r="E4" s="12">
        <f>'800V Set-points'!B5</f>
        <v>101.47200000000001</v>
      </c>
      <c r="F4" s="55">
        <f>'800V Set-points'!D5</f>
        <v>3.8079999999999998</v>
      </c>
      <c r="G4" s="2">
        <f>'800V Set-points'!E5</f>
        <v>0.57999999999999996</v>
      </c>
      <c r="H4" s="12">
        <f>'800V Set-points'!F5</f>
        <v>3152</v>
      </c>
      <c r="I4" s="12">
        <f>'800V Set-points'!K5</f>
        <v>2392.9140529700589</v>
      </c>
      <c r="J4" s="12">
        <f>'800V Set-points'!G5</f>
        <v>2102.7600000000002</v>
      </c>
      <c r="K4" s="12">
        <f>'800V Set-points'!H5</f>
        <v>1947.3536529215689</v>
      </c>
      <c r="L4" s="12">
        <f>'800V Set-points'!J5</f>
        <v>6050.1136529215692</v>
      </c>
      <c r="M4" s="41">
        <f>'800V Set-points'!O5</f>
        <v>1.983710713326145E-2</v>
      </c>
      <c r="N4" s="12">
        <f>'800V Set-points'!R5</f>
        <v>16</v>
      </c>
      <c r="O4" s="12">
        <f>'800V Set-points'!S5</f>
        <v>6342</v>
      </c>
      <c r="P4" s="41">
        <f>'800V Set-points'!T5</f>
        <v>0.23799999999999999</v>
      </c>
      <c r="Q4" s="2">
        <f>'800V Set-points'!W5</f>
        <v>0.16970748067149488</v>
      </c>
      <c r="R4" s="12">
        <f>'800V Set-points'!X5</f>
        <v>14100.227305843138</v>
      </c>
      <c r="S4">
        <f t="shared" si="0"/>
        <v>4.5102303730955892E-4</v>
      </c>
      <c r="T4" s="12">
        <f t="shared" si="1"/>
        <v>687.33458447054477</v>
      </c>
      <c r="U4" s="12">
        <f t="shared" si="2"/>
        <v>4737.4482373921137</v>
      </c>
      <c r="V4">
        <f t="shared" si="3"/>
        <v>8.0380825482037144E-4</v>
      </c>
      <c r="W4">
        <f t="shared" si="4"/>
        <v>-1.2319476958488849E-4</v>
      </c>
      <c r="X4">
        <f t="shared" si="5"/>
        <v>-1.459130230011231E-8</v>
      </c>
      <c r="Y4">
        <f t="shared" si="12"/>
        <v>-2.6004457127895747E-8</v>
      </c>
      <c r="Z4" s="12">
        <f t="shared" si="6"/>
        <v>63160.554783769585</v>
      </c>
      <c r="AA4" s="55">
        <f t="shared" si="13"/>
        <v>0.7310249396269628</v>
      </c>
      <c r="AB4" s="12">
        <f>ABS((1/Y4)*(1-EXP((Y4*'Mission Params'!$B$13)/V4)))</f>
        <v>5581038.0074816206</v>
      </c>
      <c r="AC4">
        <f t="shared" si="14"/>
        <v>64.59534730881505</v>
      </c>
      <c r="AD4" t="str">
        <f t="shared" si="7"/>
        <v>16 HET 6342W</v>
      </c>
      <c r="AE4">
        <f t="shared" si="8"/>
        <v>2000</v>
      </c>
      <c r="AF4" s="55">
        <f t="shared" si="15"/>
        <v>65.326372248442013</v>
      </c>
      <c r="AG4" s="55">
        <f t="shared" si="9"/>
        <v>4.6012440712258673</v>
      </c>
      <c r="AH4" s="59">
        <f t="shared" si="10"/>
        <v>75</v>
      </c>
      <c r="AI4" s="65" t="e">
        <f t="shared" si="11"/>
        <v>#NUM!</v>
      </c>
      <c r="AJ4" s="59">
        <v>-2000</v>
      </c>
      <c r="AK4" s="64">
        <f>$AH4-'Cost of Sales'!H$15-(I4*Launch_Cost)</f>
        <v>-187.45988343513881</v>
      </c>
      <c r="AL4" s="64">
        <f>$AH4-'Cost of Sales'!I$15-(J4*Launch_Cost)</f>
        <v>-194.73800823241379</v>
      </c>
      <c r="AM4" s="64">
        <f>$AH4-'Cost of Sales'!J$15-(K4*Launch_Cost)</f>
        <v>-202.47056602729788</v>
      </c>
      <c r="AN4" s="64">
        <f>$AH4-'Cost of Sales'!K$15-(L4*Launch_Cost)</f>
        <v>-217.45072745942244</v>
      </c>
      <c r="AO4" s="64">
        <f>$AH4-'Cost of Sales'!L$15-(D4*Launch_Cost)</f>
        <v>-229.86371821040188</v>
      </c>
      <c r="AP4" s="64">
        <f>$AH4-'Cost of Sales'!M$15-(M4*Launch_Cost)</f>
        <v>-224.69753941978715</v>
      </c>
      <c r="AQ4" s="64">
        <f>$AH4-'Cost of Sales'!N$15-(N4*Launch_Cost)</f>
        <v>-233.71476426408708</v>
      </c>
      <c r="AR4" s="64">
        <f>$AH4-'Cost of Sales'!O$15-(O4*Launch_Cost)</f>
        <v>-253.38654575000345</v>
      </c>
      <c r="AS4" s="64">
        <f>$AH4-'Cost of Sales'!P$15-(P4*Launch_Cost)</f>
        <v>-252.48794917579508</v>
      </c>
      <c r="AT4" s="64">
        <f>$AH4-'Cost of Sales'!Q$15-(Q4*Launch_Cost)</f>
        <v>-262.31246350664054</v>
      </c>
    </row>
    <row r="5" spans="1:46" x14ac:dyDescent="0.25">
      <c r="A5" t="s">
        <v>91</v>
      </c>
      <c r="B5" s="54">
        <v>350</v>
      </c>
      <c r="C5" s="12">
        <f>'350V Set-points'!I8</f>
        <v>2000</v>
      </c>
      <c r="D5" s="12">
        <f>'350V Set-points'!L8</f>
        <v>10754.539607596405</v>
      </c>
      <c r="E5" s="12">
        <f>'350V Set-points'!B8</f>
        <v>128.96</v>
      </c>
      <c r="F5" s="55">
        <f>'350V Set-points'!D8</f>
        <v>7.44</v>
      </c>
      <c r="G5" s="2">
        <f>'350V Set-points'!E8</f>
        <v>0.56000000000000005</v>
      </c>
      <c r="H5" s="12">
        <f>'350V Set-points'!F8</f>
        <v>1979</v>
      </c>
      <c r="I5" s="12">
        <f>'350V Set-points'!K8</f>
        <v>4254.1546075964043</v>
      </c>
      <c r="J5" s="12">
        <f>'350V Set-points'!G8</f>
        <v>2120.3850000000002</v>
      </c>
      <c r="K5" s="12">
        <f>'350V Set-points'!H8</f>
        <v>2380</v>
      </c>
      <c r="L5" s="12">
        <f>'350V Set-points'!J8</f>
        <v>6500.3850000000002</v>
      </c>
      <c r="M5" s="41">
        <f>'350V Set-points'!O8</f>
        <v>-1.4433556406447251E-2</v>
      </c>
      <c r="N5" s="12">
        <f>'350V Set-points'!R8</f>
        <v>16</v>
      </c>
      <c r="O5" s="12">
        <f>'350V Set-points'!S8</f>
        <v>8060</v>
      </c>
      <c r="P5" s="41">
        <f>'350V Set-points'!T8</f>
        <v>0.46500000000000002</v>
      </c>
      <c r="Q5" s="2">
        <f>'350V Set-points'!W8</f>
        <v>0.28359574925796505</v>
      </c>
      <c r="R5" s="12">
        <f>'350V Set-points'!X8</f>
        <v>15000.77</v>
      </c>
      <c r="S5">
        <f t="shared" si="0"/>
        <v>6.9180088329813766E-4</v>
      </c>
      <c r="T5" s="12">
        <f t="shared" si="1"/>
        <v>1276.290056024307</v>
      </c>
      <c r="U5" s="12">
        <f t="shared" si="2"/>
        <v>5776.6750560243072</v>
      </c>
      <c r="V5">
        <f t="shared" si="3"/>
        <v>1.2879381180080512E-3</v>
      </c>
      <c r="W5">
        <f t="shared" si="4"/>
        <v>-3.8336166276402094E-4</v>
      </c>
      <c r="X5">
        <f t="shared" si="5"/>
        <v>-3.5646496898224793E-8</v>
      </c>
      <c r="Y5">
        <f t="shared" si="12"/>
        <v>-6.6363722910850853E-8</v>
      </c>
      <c r="Z5" s="12">
        <f t="shared" si="6"/>
        <v>41166.590679265391</v>
      </c>
      <c r="AA5" s="55">
        <f t="shared" si="13"/>
        <v>0.47646516989890497</v>
      </c>
      <c r="AB5" s="12">
        <f>ABS((1/Y5)*(1-EXP((Y5*'Mission Params'!$B$13)/V5)))</f>
        <v>3330222.3925178726</v>
      </c>
      <c r="AC5">
        <f t="shared" si="14"/>
        <v>38.544240654142044</v>
      </c>
      <c r="AD5" t="str">
        <f t="shared" si="7"/>
        <v>16 HET 8060W</v>
      </c>
      <c r="AE5">
        <f t="shared" si="8"/>
        <v>2000</v>
      </c>
      <c r="AF5" s="55">
        <f t="shared" si="15"/>
        <v>39.020705824040952</v>
      </c>
      <c r="AG5" s="55">
        <f t="shared" si="9"/>
        <v>6.8841029995209837</v>
      </c>
      <c r="AH5" s="59">
        <f t="shared" si="10"/>
        <v>75</v>
      </c>
      <c r="AI5" s="65" t="e">
        <f t="shared" si="11"/>
        <v>#NUM!</v>
      </c>
      <c r="AJ5" s="59">
        <v>-2000</v>
      </c>
      <c r="AK5" s="64">
        <f>$AH5-'Cost of Sales'!H$15-(I5*Launch_Cost)</f>
        <v>-190.52305362692198</v>
      </c>
      <c r="AL5" s="64">
        <f>$AH5-'Cost of Sales'!I$15-(J5*Launch_Cost)</f>
        <v>-194.76701489385579</v>
      </c>
      <c r="AM5" s="64">
        <f>$AH5-'Cost of Sales'!J$15-(K5*Launch_Cost)</f>
        <v>-203.18260155148653</v>
      </c>
      <c r="AN5" s="64">
        <f>$AH5-'Cost of Sales'!K$15-(L5*Launch_Cost)</f>
        <v>-218.19176964505309</v>
      </c>
      <c r="AO5" s="64">
        <f>$AH5-'Cost of Sales'!L$15-(D5*Launch_Cost)</f>
        <v>-233.6679305878157</v>
      </c>
      <c r="AP5" s="64">
        <f>$AH5-'Cost of Sales'!M$15-(M5*Launch_Cost)</f>
        <v>-224.69748301822489</v>
      </c>
      <c r="AQ5" s="64">
        <f>$AH5-'Cost of Sales'!N$15-(N5*Launch_Cost)</f>
        <v>-233.71476426408708</v>
      </c>
      <c r="AR5" s="64">
        <f>$AH5-'Cost of Sales'!O$15-(O5*Launch_Cost)</f>
        <v>-256.21397521708809</v>
      </c>
      <c r="AS5" s="64">
        <f>$AH5-'Cost of Sales'!P$15-(P5*Launch_Cost)</f>
        <v>-252.48832276513676</v>
      </c>
      <c r="AT5" s="64">
        <f>$AH5-'Cost of Sales'!Q$15-(Q5*Launch_Cost)</f>
        <v>-262.31265094031141</v>
      </c>
    </row>
    <row r="6" spans="1:46" x14ac:dyDescent="0.25">
      <c r="A6" s="23" t="s">
        <v>46</v>
      </c>
      <c r="B6" s="54">
        <v>600</v>
      </c>
      <c r="C6" s="12">
        <f>'600V Set-points'!I8</f>
        <v>2000</v>
      </c>
      <c r="D6" s="12">
        <f>'600V Set-points'!L8</f>
        <v>9591.1142027186343</v>
      </c>
      <c r="E6" s="12">
        <f>'600V Set-points'!B8</f>
        <v>128.928</v>
      </c>
      <c r="F6" s="55">
        <f>'600V Set-points'!D8</f>
        <v>6.032</v>
      </c>
      <c r="G6" s="2">
        <f>'600V Set-points'!E8</f>
        <v>0.60599999999999998</v>
      </c>
      <c r="H6" s="12">
        <f>'600V Set-points'!F8</f>
        <v>2637</v>
      </c>
      <c r="I6" s="12">
        <f>'600V Set-points'!K8</f>
        <v>3091.0712552088294</v>
      </c>
      <c r="J6" s="12">
        <f>'600V Set-points'!G8</f>
        <v>2120.3850000000002</v>
      </c>
      <c r="K6" s="12">
        <f>'600V Set-points'!H8</f>
        <v>2379.6579475098038</v>
      </c>
      <c r="L6" s="12">
        <f>'600V Set-points'!J8</f>
        <v>6500.0429475098044</v>
      </c>
      <c r="M6" s="41">
        <f>'600V Set-points'!O8</f>
        <v>2.2604822231713284E-2</v>
      </c>
      <c r="N6" s="12">
        <f>'600V Set-points'!R8</f>
        <v>16</v>
      </c>
      <c r="O6" s="12">
        <f>'600V Set-points'!S8</f>
        <v>8058</v>
      </c>
      <c r="P6" s="41">
        <f>'600V Set-points'!T8</f>
        <v>0.377</v>
      </c>
      <c r="Q6" s="2">
        <f>'600V Set-points'!W8</f>
        <v>0.2060702369867855</v>
      </c>
      <c r="R6" s="12">
        <f>'600V Set-points'!X8</f>
        <v>15000.085895019609</v>
      </c>
      <c r="S6">
        <f t="shared" si="0"/>
        <v>6.2891545992541814E-4</v>
      </c>
      <c r="T6" s="12">
        <f t="shared" si="1"/>
        <v>927.32491664405813</v>
      </c>
      <c r="U6" s="12">
        <f t="shared" si="2"/>
        <v>5427.3678641538627</v>
      </c>
      <c r="V6">
        <f t="shared" si="3"/>
        <v>1.1114043033345043E-3</v>
      </c>
      <c r="W6">
        <f t="shared" si="4"/>
        <v>-2.3325595592904041E-4</v>
      </c>
      <c r="X6">
        <f t="shared" si="5"/>
        <v>-2.4320006101368619E-8</v>
      </c>
      <c r="Y6">
        <f t="shared" si="12"/>
        <v>-4.297773096782808E-8</v>
      </c>
      <c r="Z6" s="12">
        <f t="shared" si="6"/>
        <v>45291.144563850132</v>
      </c>
      <c r="AA6" s="55">
        <f t="shared" si="13"/>
        <v>0.52420306208159873</v>
      </c>
      <c r="AB6" s="12">
        <f>ABS((1/Y6)*(1-EXP((Y6*'Mission Params'!$B$13)/V6)))</f>
        <v>3976821.2213322609</v>
      </c>
      <c r="AC6">
        <f t="shared" si="14"/>
        <v>46.028023395049317</v>
      </c>
      <c r="AD6" t="str">
        <f t="shared" si="7"/>
        <v>16 HET 8058W</v>
      </c>
      <c r="AE6">
        <f t="shared" si="8"/>
        <v>2000</v>
      </c>
      <c r="AF6" s="55">
        <f t="shared" si="15"/>
        <v>46.552226457130914</v>
      </c>
      <c r="AG6" s="55">
        <f t="shared" si="9"/>
        <v>6.0278543227210415</v>
      </c>
      <c r="AH6" s="59">
        <f t="shared" si="10"/>
        <v>75</v>
      </c>
      <c r="AI6" s="65" t="e">
        <f t="shared" si="11"/>
        <v>#NUM!</v>
      </c>
      <c r="AJ6" s="59">
        <v>-2000</v>
      </c>
      <c r="AK6" s="64">
        <f>$AH6-'Cost of Sales'!H$15-(I6*Launch_Cost)</f>
        <v>-188.60888823506156</v>
      </c>
      <c r="AL6" s="64">
        <f>$AH6-'Cost of Sales'!I$15-(J6*Launch_Cost)</f>
        <v>-194.76701489385579</v>
      </c>
      <c r="AM6" s="64">
        <f>$AH6-'Cost of Sales'!J$15-(K6*Launch_Cost)</f>
        <v>-203.18203861243526</v>
      </c>
      <c r="AN6" s="64">
        <f>$AH6-'Cost of Sales'!K$15-(L6*Launch_Cost)</f>
        <v>-218.19120670600182</v>
      </c>
      <c r="AO6" s="64">
        <f>$AH6-'Cost of Sales'!L$15-(D6*Launch_Cost)</f>
        <v>-231.75320225690399</v>
      </c>
      <c r="AP6" s="64">
        <f>$AH6-'Cost of Sales'!M$15-(M6*Launch_Cost)</f>
        <v>-224.69754397480415</v>
      </c>
      <c r="AQ6" s="64">
        <f>$AH6-'Cost of Sales'!N$15-(N6*Launch_Cost)</f>
        <v>-233.71476426408708</v>
      </c>
      <c r="AR6" s="64">
        <f>$AH6-'Cost of Sales'!O$15-(O6*Launch_Cost)</f>
        <v>-256.21068368103795</v>
      </c>
      <c r="AS6" s="64">
        <f>$AH6-'Cost of Sales'!P$15-(P6*Launch_Cost)</f>
        <v>-252.48817793755055</v>
      </c>
      <c r="AT6" s="64">
        <f>$AH6-'Cost of Sales'!Q$15-(Q6*Launch_Cost)</f>
        <v>-262.31252335130222</v>
      </c>
    </row>
    <row r="7" spans="1:46" x14ac:dyDescent="0.25">
      <c r="A7" s="33" t="s">
        <v>33</v>
      </c>
      <c r="B7" s="57">
        <v>400</v>
      </c>
      <c r="C7" s="11">
        <f>'400V Set-points'!I8</f>
        <v>2000</v>
      </c>
      <c r="D7" s="11">
        <f>'400V Set-points'!L8</f>
        <v>12530.84511822565</v>
      </c>
      <c r="E7" s="11">
        <f>'400V Set-points'!B8</f>
        <v>128.976</v>
      </c>
      <c r="F7" s="58">
        <f>'400V Set-points'!D8</f>
        <v>7.1840000000000002</v>
      </c>
      <c r="G7" s="56">
        <f>'400V Set-points'!E8</f>
        <v>0.60599999999999998</v>
      </c>
      <c r="H7" s="11">
        <f>'400V Set-points'!F8</f>
        <v>2217</v>
      </c>
      <c r="I7" s="11">
        <f>'400V Set-points'!K8</f>
        <v>4506.0651182256497</v>
      </c>
      <c r="J7" s="11">
        <f>'400V Set-points'!G8</f>
        <v>3090.41</v>
      </c>
      <c r="K7" s="11">
        <f>'400V Set-points'!H8</f>
        <v>2934.37</v>
      </c>
      <c r="L7" s="11">
        <f>'400V Set-points'!J8</f>
        <v>8024.78</v>
      </c>
      <c r="M7" s="21">
        <f>'400V Set-points'!O8</f>
        <v>3.045555280813933E-3</v>
      </c>
      <c r="N7" s="11">
        <f>'400V Set-points'!R8</f>
        <v>16</v>
      </c>
      <c r="O7" s="11">
        <f>'400V Set-points'!S8</f>
        <v>8061</v>
      </c>
      <c r="P7" s="21">
        <f>'400V Set-points'!T8</f>
        <v>0.44900000000000001</v>
      </c>
      <c r="Q7" s="56">
        <f>'400V Set-points'!W8</f>
        <v>0.24964958249539881</v>
      </c>
      <c r="R7" s="11">
        <f>'400V Set-points'!X8</f>
        <v>18049.559999999998</v>
      </c>
      <c r="S7">
        <f t="shared" si="0"/>
        <v>5.7330530640356721E-4</v>
      </c>
      <c r="T7" s="12">
        <f t="shared" si="1"/>
        <v>1504.0838116266289</v>
      </c>
      <c r="U7" s="12">
        <f t="shared" si="2"/>
        <v>7528.8638116266284</v>
      </c>
      <c r="V7">
        <f t="shared" si="3"/>
        <v>9.5419444151797995E-4</v>
      </c>
      <c r="W7">
        <f t="shared" si="4"/>
        <v>-3.3043205343255571E-4</v>
      </c>
      <c r="X7">
        <f t="shared" si="5"/>
        <v>-2.6369494660176951E-8</v>
      </c>
      <c r="Y7">
        <f t="shared" si="12"/>
        <v>-4.3888701097538528E-8</v>
      </c>
      <c r="Z7" s="12">
        <f t="shared" si="6"/>
        <v>49679.16378507013</v>
      </c>
      <c r="AA7" s="55">
        <f t="shared" si="13"/>
        <v>0.5749903215864598</v>
      </c>
      <c r="AB7" s="12">
        <f>ABS((1/Y7)*(1-EXP((Y7*'Mission Params'!$B$13)/V7)))</f>
        <v>4553278.9563035006</v>
      </c>
      <c r="AC7">
        <f t="shared" si="14"/>
        <v>52.699987920179403</v>
      </c>
      <c r="AD7" t="str">
        <f t="shared" si="7"/>
        <v>16 HET 8061W</v>
      </c>
      <c r="AE7">
        <f t="shared" si="8"/>
        <v>2000</v>
      </c>
      <c r="AF7" s="55">
        <f t="shared" si="15"/>
        <v>53.274978241765865</v>
      </c>
      <c r="AG7" s="55">
        <f t="shared" si="9"/>
        <v>5.4254941367398253</v>
      </c>
      <c r="AH7" s="59">
        <f t="shared" si="10"/>
        <v>75</v>
      </c>
      <c r="AI7" s="65" t="e">
        <f t="shared" si="11"/>
        <v>#NUM!</v>
      </c>
      <c r="AJ7" s="59">
        <v>-2000</v>
      </c>
      <c r="AK7" s="64">
        <f>$AH7-'Cost of Sales'!H$15-(I7*Launch_Cost)</f>
        <v>-190.93763989049677</v>
      </c>
      <c r="AL7" s="64">
        <f>$AH7-'Cost of Sales'!I$15-(J7*Launch_Cost)</f>
        <v>-196.36345102238243</v>
      </c>
      <c r="AM7" s="64">
        <f>$AH7-'Cost of Sales'!J$15-(K7*Launch_Cost)</f>
        <v>-204.09496597154921</v>
      </c>
      <c r="AN7" s="64">
        <f>$AH7-'Cost of Sales'!K$15-(L7*Launch_Cost)</f>
        <v>-220.70057019364242</v>
      </c>
      <c r="AO7" s="64">
        <f>$AH7-'Cost of Sales'!L$15-(D7*Launch_Cost)</f>
        <v>-236.5913173999798</v>
      </c>
      <c r="AP7" s="64">
        <f>$AH7-'Cost of Sales'!M$15-(M7*Launch_Cost)</f>
        <v>-224.69751178478802</v>
      </c>
      <c r="AQ7" s="64">
        <f>$AH7-'Cost of Sales'!N$15-(N7*Launch_Cost)</f>
        <v>-233.71476426408708</v>
      </c>
      <c r="AR7" s="64">
        <f>$AH7-'Cost of Sales'!O$15-(O7*Launch_Cost)</f>
        <v>-256.21562098511316</v>
      </c>
      <c r="AS7" s="64">
        <f>$AH7-'Cost of Sales'!P$15-(P7*Launch_Cost)</f>
        <v>-252.48829643284836</v>
      </c>
      <c r="AT7" s="64">
        <f>$AH7-'Cost of Sales'!Q$15-(Q7*Launch_Cost)</f>
        <v>-262.3125950727956</v>
      </c>
    </row>
    <row r="8" spans="1:46" s="6" customFormat="1" x14ac:dyDescent="0.25">
      <c r="A8" s="23" t="s">
        <v>54</v>
      </c>
      <c r="B8" s="54">
        <v>800</v>
      </c>
      <c r="C8" s="12">
        <f>'800V Set-points'!I9</f>
        <v>4000</v>
      </c>
      <c r="D8" s="12">
        <f>'800V Set-points'!L9</f>
        <v>12168.859776624495</v>
      </c>
      <c r="E8" s="12">
        <f>'800V Set-points'!B9</f>
        <v>128.75200000000001</v>
      </c>
      <c r="F8" s="55">
        <f>'800V Set-points'!D9</f>
        <v>5.2</v>
      </c>
      <c r="G8" s="2">
        <f>'800V Set-points'!E9</f>
        <v>0.60699999999999998</v>
      </c>
      <c r="H8" s="12">
        <f>'800V Set-points'!F9</f>
        <v>3068</v>
      </c>
      <c r="I8" s="12">
        <f>'800V Set-points'!K9</f>
        <v>3669.3396526441006</v>
      </c>
      <c r="J8" s="12">
        <f>'800V Set-points'!G9</f>
        <v>2120.3850000000002</v>
      </c>
      <c r="K8" s="12">
        <f>'800V Set-points'!H9</f>
        <v>2379.1351239803926</v>
      </c>
      <c r="L8" s="12">
        <f>'800V Set-points'!J9</f>
        <v>8499.5201239803937</v>
      </c>
      <c r="M8" s="41">
        <f>'800V Set-points'!O9</f>
        <v>-1.0609512338180027E-2</v>
      </c>
      <c r="N8" s="12">
        <f>'800V Set-points'!R9</f>
        <v>16</v>
      </c>
      <c r="O8" s="12">
        <f>'800V Set-points'!S9</f>
        <v>8047</v>
      </c>
      <c r="P8" s="41">
        <f>'800V Set-points'!T9</f>
        <v>0.32500000000000001</v>
      </c>
      <c r="Q8" s="2">
        <f>'800V Set-points'!W9</f>
        <v>0.17473844562969632</v>
      </c>
      <c r="R8" s="12">
        <f>'800V Set-points'!X9</f>
        <v>20999.040247960787</v>
      </c>
      <c r="S8">
        <f t="shared" si="0"/>
        <v>4.2732023340336507E-4</v>
      </c>
      <c r="T8" s="12">
        <f t="shared" si="1"/>
        <v>786.23915254387248</v>
      </c>
      <c r="U8" s="12">
        <f t="shared" si="2"/>
        <v>5285.7592765242653</v>
      </c>
      <c r="V8">
        <f t="shared" si="3"/>
        <v>9.8377541010897921E-4</v>
      </c>
      <c r="W8">
        <f t="shared" si="4"/>
        <v>-1.7283413764579856E-4</v>
      </c>
      <c r="X8">
        <f t="shared" si="5"/>
        <v>-1.4202985392090762E-8</v>
      </c>
      <c r="Y8">
        <f t="shared" si="12"/>
        <v>-3.2698072046793696E-8</v>
      </c>
      <c r="Z8" s="12">
        <f t="shared" si="6"/>
        <v>66663.133458469369</v>
      </c>
      <c r="AA8" s="55">
        <f t="shared" si="13"/>
        <v>0.77156404465821027</v>
      </c>
      <c r="AB8" s="12">
        <f>ABS((1/Y8)*(1-EXP((Y8*'Mission Params'!$B$13)/V8)))</f>
        <v>4550549.9576000758</v>
      </c>
      <c r="AC8">
        <f t="shared" si="14"/>
        <v>52.668402287037914</v>
      </c>
      <c r="AD8" t="str">
        <f t="shared" si="7"/>
        <v>16 HET 8047W</v>
      </c>
      <c r="AE8">
        <f t="shared" si="8"/>
        <v>4000</v>
      </c>
      <c r="AF8" s="55">
        <f t="shared" si="15"/>
        <v>53.439966331696127</v>
      </c>
      <c r="AG8" s="55">
        <f t="shared" si="9"/>
        <v>5.4122209700519015</v>
      </c>
      <c r="AH8" s="59">
        <f t="shared" si="10"/>
        <v>150</v>
      </c>
      <c r="AI8" s="65" t="e">
        <f t="shared" si="11"/>
        <v>#NUM!</v>
      </c>
      <c r="AJ8" s="59">
        <v>-2000</v>
      </c>
      <c r="AK8" s="64">
        <f>$AH8-'Cost of Sales'!H$15-(I8*Launch_Cost)</f>
        <v>-114.56058387347383</v>
      </c>
      <c r="AL8" s="64">
        <f>$AH8-'Cost of Sales'!I$15-(J8*Launch_Cost)</f>
        <v>-119.7670148938558</v>
      </c>
      <c r="AM8" s="64">
        <f>$AH8-'Cost of Sales'!J$15-(K8*Launch_Cost)</f>
        <v>-128.18117816618781</v>
      </c>
      <c r="AN8" s="64">
        <f>$AH8-'Cost of Sales'!K$15-(L8*Launch_Cost)</f>
        <v>-146.4818823099111</v>
      </c>
      <c r="AO8" s="64">
        <f>$AH8-'Cost of Sales'!L$15-(D8*Launch_Cost)</f>
        <v>-160.99557349922554</v>
      </c>
      <c r="AP8" s="64">
        <f>$AH8-'Cost of Sales'!M$15-(M8*Launch_Cost)</f>
        <v>-149.69748931171435</v>
      </c>
      <c r="AQ8" s="64">
        <f>$AH8-'Cost of Sales'!N$15-(N8*Launch_Cost)</f>
        <v>-158.71476426408708</v>
      </c>
      <c r="AR8" s="64">
        <f>$AH8-'Cost of Sales'!O$15-(O8*Launch_Cost)</f>
        <v>-181.19258023276208</v>
      </c>
      <c r="AS8" s="64">
        <f>$AH8-'Cost of Sales'!P$15-(P8*Launch_Cost)</f>
        <v>-177.48809235761325</v>
      </c>
      <c r="AT8" s="64">
        <f>$AH8-'Cost of Sales'!Q$15-(Q8*Launch_Cost)</f>
        <v>-187.31247178644182</v>
      </c>
    </row>
    <row r="9" spans="1:46" s="6" customFormat="1" x14ac:dyDescent="0.25">
      <c r="A9" s="6" t="s">
        <v>25</v>
      </c>
      <c r="B9" s="57">
        <v>400</v>
      </c>
      <c r="C9" s="11">
        <f>'400V Set-points'!I11</f>
        <v>4000</v>
      </c>
      <c r="D9" s="11">
        <f>'400V Set-points'!L11</f>
        <v>18118.05959708487</v>
      </c>
      <c r="E9" s="11">
        <f>'400V Set-points'!B11</f>
        <v>145.184</v>
      </c>
      <c r="F9" s="58">
        <f>'400V Set-points'!D11</f>
        <v>8.32</v>
      </c>
      <c r="G9" s="56">
        <f>'400V Set-points'!E11</f>
        <v>0.58399999999999996</v>
      </c>
      <c r="H9" s="11">
        <f>'400V Set-points'!F11</f>
        <v>2077</v>
      </c>
      <c r="I9" s="11">
        <f>'400V Set-points'!K11</f>
        <v>7029.9695970848697</v>
      </c>
      <c r="J9" s="11">
        <f>'400V Set-points'!G11</f>
        <v>3125.66</v>
      </c>
      <c r="K9" s="11">
        <f>'400V Set-points'!H11</f>
        <v>3962.43</v>
      </c>
      <c r="L9" s="11">
        <f>'400V Set-points'!J11</f>
        <v>11088.09</v>
      </c>
      <c r="M9" s="21">
        <f>'400V Set-points'!O11</f>
        <v>-1.5009710466679066E-2</v>
      </c>
      <c r="N9" s="11">
        <f>'400V Set-points'!R11</f>
        <v>32</v>
      </c>
      <c r="O9" s="11">
        <f>'400V Set-points'!S11</f>
        <v>4537</v>
      </c>
      <c r="P9" s="21">
        <f>'400V Set-points'!T11</f>
        <v>0.26</v>
      </c>
      <c r="Q9" s="56">
        <f>'400V Set-points'!W11</f>
        <v>0.26856361765104264</v>
      </c>
      <c r="R9" s="11">
        <f>'400V Set-points'!X11</f>
        <v>26176.18</v>
      </c>
      <c r="S9">
        <f t="shared" si="0"/>
        <v>4.5921032301597344E-4</v>
      </c>
      <c r="T9" s="12">
        <f t="shared" si="1"/>
        <v>1903.6030926361789</v>
      </c>
      <c r="U9" s="12">
        <f t="shared" si="2"/>
        <v>8991.6930926361783</v>
      </c>
      <c r="V9">
        <f t="shared" si="3"/>
        <v>9.2529848542247659E-4</v>
      </c>
      <c r="W9">
        <f t="shared" si="4"/>
        <v>-4.084777153951353E-4</v>
      </c>
      <c r="X9">
        <f t="shared" si="5"/>
        <v>-2.2545334571084967E-8</v>
      </c>
      <c r="Y9">
        <f t="shared" si="12"/>
        <v>-4.5428342714417325E-8</v>
      </c>
      <c r="Z9" s="12">
        <f t="shared" si="6"/>
        <v>62019.664639792878</v>
      </c>
      <c r="AA9" s="55">
        <f t="shared" si="13"/>
        <v>0.71782019259019536</v>
      </c>
      <c r="AB9" s="12">
        <f>ABS((1/Y9)*(1-EXP((Y9*'Mission Params'!$B$13)/V9)))</f>
        <v>4661668.4205445619</v>
      </c>
      <c r="AC9">
        <f t="shared" si="14"/>
        <v>53.954495608154652</v>
      </c>
      <c r="AD9" t="str">
        <f t="shared" si="7"/>
        <v>32 HET 4537W</v>
      </c>
      <c r="AE9">
        <f t="shared" si="8"/>
        <v>4000</v>
      </c>
      <c r="AF9" s="55">
        <f t="shared" si="15"/>
        <v>54.672315800744848</v>
      </c>
      <c r="AG9" s="55">
        <f t="shared" si="9"/>
        <v>5.3150967131945919</v>
      </c>
      <c r="AH9" s="59">
        <f t="shared" si="10"/>
        <v>150</v>
      </c>
      <c r="AI9" s="65" t="e">
        <f t="shared" si="11"/>
        <v>#NUM!</v>
      </c>
      <c r="AJ9" s="59">
        <v>-2000</v>
      </c>
      <c r="AK9" s="64">
        <f>$AH9-'Cost of Sales'!H$15-(I9*Launch_Cost)</f>
        <v>-120.09140118015536</v>
      </c>
      <c r="AL9" s="64">
        <f>$AH9-'Cost of Sales'!I$15-(J9*Launch_Cost)</f>
        <v>-121.42146434526646</v>
      </c>
      <c r="AM9" s="64">
        <f>$AH9-'Cost of Sales'!J$15-(K9*Launch_Cost)</f>
        <v>-130.78691424741129</v>
      </c>
      <c r="AN9" s="64">
        <f>$AH9-'Cost of Sales'!K$15-(L9*Launch_Cost)</f>
        <v>-150.74206784254525</v>
      </c>
      <c r="AO9" s="64">
        <f>$AH9-'Cost of Sales'!L$15-(D9*Launch_Cost)</f>
        <v>-170.78657633854121</v>
      </c>
      <c r="AP9" s="64">
        <f>$AH9-'Cost of Sales'!M$15-(M9*Launch_Cost)</f>
        <v>-149.69748207000896</v>
      </c>
      <c r="AQ9" s="64">
        <f>$AH9-'Cost of Sales'!N$15-(N9*Launch_Cost)</f>
        <v>-158.74109655248833</v>
      </c>
      <c r="AR9" s="64">
        <f>$AH9-'Cost of Sales'!O$15-(O9*Launch_Cost)</f>
        <v>-175.41593446473701</v>
      </c>
      <c r="AS9" s="64">
        <f>$AH9-'Cost of Sales'!P$15-(P9*Launch_Cost)</f>
        <v>-177.48798538269162</v>
      </c>
      <c r="AT9" s="64">
        <f>$AH9-'Cost of Sales'!Q$15-(Q9*Launch_Cost)</f>
        <v>-187.31262620090988</v>
      </c>
    </row>
    <row r="10" spans="1:46" s="6" customFormat="1" x14ac:dyDescent="0.25">
      <c r="A10" t="s">
        <v>39</v>
      </c>
      <c r="B10" s="54">
        <v>600</v>
      </c>
      <c r="C10" s="12">
        <f>'600V Set-points'!I11</f>
        <v>4000</v>
      </c>
      <c r="D10" s="12">
        <f>'600V Set-points'!L11</f>
        <v>14862.926036441528</v>
      </c>
      <c r="E10" s="12">
        <f>'600V Set-points'!B11</f>
        <v>145.40800000000002</v>
      </c>
      <c r="F10" s="55">
        <f>'600V Set-points'!D11</f>
        <v>6.3360000000000003</v>
      </c>
      <c r="G10" s="2">
        <f>'600V Set-points'!E11</f>
        <v>0.58399999999999996</v>
      </c>
      <c r="H10" s="12">
        <f>'600V Set-points'!F11</f>
        <v>2696</v>
      </c>
      <c r="I10" s="12">
        <f>'600V Set-points'!K11</f>
        <v>4837.4771746236011</v>
      </c>
      <c r="J10" s="12">
        <f>'600V Set-points'!G11</f>
        <v>3090.41</v>
      </c>
      <c r="K10" s="12">
        <f>'600V Set-points'!H11</f>
        <v>2935.0388618179277</v>
      </c>
      <c r="L10" s="12">
        <f>'600V Set-points'!J11</f>
        <v>10025.448861817928</v>
      </c>
      <c r="M10" s="41">
        <f>'600V Set-points'!O11</f>
        <v>-1.5923873638610087E-2</v>
      </c>
      <c r="N10" s="12">
        <f>'600V Set-points'!R11</f>
        <v>32</v>
      </c>
      <c r="O10" s="12">
        <f>'600V Set-points'!S11</f>
        <v>4544</v>
      </c>
      <c r="P10" s="41">
        <f>'600V Set-points'!T11</f>
        <v>0.19800000000000001</v>
      </c>
      <c r="Q10" s="2">
        <f>'600V Set-points'!W11</f>
        <v>0.20113499421976266</v>
      </c>
      <c r="R10" s="12">
        <f>'600V Set-points'!X11</f>
        <v>24050.897723635855</v>
      </c>
      <c r="S10">
        <f t="shared" si="0"/>
        <v>4.2629560185290148E-4</v>
      </c>
      <c r="T10" s="12">
        <f t="shared" si="1"/>
        <v>1211.9286219932244</v>
      </c>
      <c r="U10" s="12">
        <f t="shared" si="2"/>
        <v>7237.3774838111522</v>
      </c>
      <c r="V10">
        <f t="shared" si="3"/>
        <v>8.7545523418843527E-4</v>
      </c>
      <c r="W10">
        <f t="shared" si="4"/>
        <v>-2.396496612437055E-4</v>
      </c>
      <c r="X10">
        <f t="shared" si="5"/>
        <v>-1.6123989358227491E-8</v>
      </c>
      <c r="Y10">
        <f t="shared" si="12"/>
        <v>-3.3112776247993586E-8</v>
      </c>
      <c r="Z10" s="12">
        <f t="shared" si="6"/>
        <v>66818.996789038167</v>
      </c>
      <c r="AA10" s="55">
        <f t="shared" si="13"/>
        <v>0.77336801839164548</v>
      </c>
      <c r="AB10" s="12">
        <f>ABS((1/Y10)*(1-EXP((Y10*'Mission Params'!$B$13)/V10)))</f>
        <v>5058682.1539438376</v>
      </c>
      <c r="AC10">
        <f t="shared" si="14"/>
        <v>58.549561966942562</v>
      </c>
      <c r="AD10" t="str">
        <f t="shared" si="7"/>
        <v>32 HET 4544W</v>
      </c>
      <c r="AE10">
        <f t="shared" si="8"/>
        <v>4000</v>
      </c>
      <c r="AF10" s="55">
        <f t="shared" si="15"/>
        <v>59.322929985334206</v>
      </c>
      <c r="AG10" s="55">
        <f t="shared" si="9"/>
        <v>4.9779789224599451</v>
      </c>
      <c r="AH10" s="59">
        <f t="shared" si="10"/>
        <v>150</v>
      </c>
      <c r="AI10" s="65" t="e">
        <f t="shared" si="11"/>
        <v>#NUM!</v>
      </c>
      <c r="AJ10" s="59">
        <v>-2000</v>
      </c>
      <c r="AK10" s="64">
        <f>$AH10-'Cost of Sales'!H$15-(I10*Launch_Cost)</f>
        <v>-116.48306725604198</v>
      </c>
      <c r="AL10" s="64">
        <f>$AH10-'Cost of Sales'!I$15-(J10*Launch_Cost)</f>
        <v>-121.36345102238243</v>
      </c>
      <c r="AM10" s="64">
        <f>$AH10-'Cost of Sales'!J$15-(K10*Launch_Cost)</f>
        <v>-129.09606676294237</v>
      </c>
      <c r="AN10" s="64">
        <f>$AH10-'Cost of Sales'!K$15-(L10*Launch_Cost)</f>
        <v>-148.99320703519231</v>
      </c>
      <c r="AO10" s="64">
        <f>$AH10-'Cost of Sales'!L$15-(D10*Launch_Cost)</f>
        <v>-165.4293816070749</v>
      </c>
      <c r="AP10" s="64">
        <f>$AH10-'Cost of Sales'!M$15-(M10*Launch_Cost)</f>
        <v>-149.69748056550844</v>
      </c>
      <c r="AQ10" s="64">
        <f>$AH10-'Cost of Sales'!N$15-(N10*Launch_Cost)</f>
        <v>-158.74109655248833</v>
      </c>
      <c r="AR10" s="64">
        <f>$AH10-'Cost of Sales'!O$15-(O10*Launch_Cost)</f>
        <v>-175.42745484091253</v>
      </c>
      <c r="AS10" s="64">
        <f>$AH10-'Cost of Sales'!P$15-(P10*Launch_Cost)</f>
        <v>-177.48788334507407</v>
      </c>
      <c r="AT10" s="64">
        <f>$AH10-'Cost of Sales'!Q$15-(Q10*Launch_Cost)</f>
        <v>-187.31251522903747</v>
      </c>
    </row>
    <row r="11" spans="1:46" s="6" customFormat="1" x14ac:dyDescent="0.25">
      <c r="A11" t="s">
        <v>51</v>
      </c>
      <c r="B11" s="54">
        <v>800</v>
      </c>
      <c r="C11" s="12">
        <f>'800V Set-points'!I11</f>
        <v>4000</v>
      </c>
      <c r="D11" s="12">
        <f>'800V Set-points'!L11</f>
        <v>14039.345717086178</v>
      </c>
      <c r="E11" s="12">
        <f>'800V Set-points'!B11</f>
        <v>146.01599999999999</v>
      </c>
      <c r="F11" s="55">
        <f>'800V Set-points'!D11</f>
        <v>5.5039999999999996</v>
      </c>
      <c r="G11" s="2">
        <f>'800V Set-points'!E11</f>
        <v>0.59199999999999997</v>
      </c>
      <c r="H11" s="12">
        <f>'800V Set-points'!F11</f>
        <v>3203</v>
      </c>
      <c r="I11" s="12">
        <f>'800V Set-points'!K11</f>
        <v>4012.0907376211931</v>
      </c>
      <c r="J11" s="12">
        <f>'800V Set-points'!G11</f>
        <v>3090.41</v>
      </c>
      <c r="K11" s="12">
        <f>'800V Set-points'!H11</f>
        <v>2936.844979464986</v>
      </c>
      <c r="L11" s="12">
        <f>'800V Set-points'!J11</f>
        <v>10027.254979464986</v>
      </c>
      <c r="M11" s="41">
        <f>'800V Set-points'!O11</f>
        <v>3.5775855177572202E-3</v>
      </c>
      <c r="N11" s="12">
        <f>'800V Set-points'!R11</f>
        <v>32</v>
      </c>
      <c r="O11" s="12">
        <f>'800V Set-points'!S11</f>
        <v>4563</v>
      </c>
      <c r="P11" s="41">
        <f>'800V Set-points'!T11</f>
        <v>0.17199999999999999</v>
      </c>
      <c r="Q11" s="2">
        <f>'800V Set-points'!W11</f>
        <v>0.16679162221435107</v>
      </c>
      <c r="R11" s="12">
        <f>'800V Set-points'!X11</f>
        <v>24054.509958929972</v>
      </c>
      <c r="S11">
        <f t="shared" si="0"/>
        <v>3.920410616643991E-4</v>
      </c>
      <c r="T11" s="12">
        <f t="shared" si="1"/>
        <v>1005.2956355244902</v>
      </c>
      <c r="U11" s="12">
        <f t="shared" si="2"/>
        <v>7032.5506149894754</v>
      </c>
      <c r="V11">
        <f t="shared" si="3"/>
        <v>7.8264634004461217E-4</v>
      </c>
      <c r="W11">
        <f t="shared" si="4"/>
        <v>-1.7522780681406819E-4</v>
      </c>
      <c r="X11">
        <f t="shared" si="5"/>
        <v>-1.2481194661430145E-8</v>
      </c>
      <c r="Y11">
        <f t="shared" si="12"/>
        <v>-2.4916679083770865E-8</v>
      </c>
      <c r="Z11" s="12">
        <f t="shared" si="6"/>
        <v>72663.496551741147</v>
      </c>
      <c r="AA11" s="55">
        <f t="shared" si="13"/>
        <v>0.84101269157107805</v>
      </c>
      <c r="AB11" s="12">
        <f>ABS((1/Y11)*(1-EXP((Y11*'Mission Params'!$B$13)/V11)))</f>
        <v>5738917.7822715044</v>
      </c>
      <c r="AC11">
        <f t="shared" si="14"/>
        <v>66.422659517031306</v>
      </c>
      <c r="AD11" t="str">
        <f t="shared" si="7"/>
        <v>32 HET 4563W</v>
      </c>
      <c r="AE11">
        <f t="shared" si="8"/>
        <v>4000</v>
      </c>
      <c r="AF11" s="55">
        <f t="shared" si="15"/>
        <v>67.263672208602387</v>
      </c>
      <c r="AG11" s="55">
        <f t="shared" si="9"/>
        <v>4.491551883885478</v>
      </c>
      <c r="AH11" s="59">
        <f t="shared" si="10"/>
        <v>150</v>
      </c>
      <c r="AI11" s="65" t="e">
        <f t="shared" si="11"/>
        <v>#NUM!</v>
      </c>
      <c r="AJ11" s="59">
        <v>-2000</v>
      </c>
      <c r="AK11" s="64">
        <f>$AH11-'Cost of Sales'!H$15-(I11*Launch_Cost)</f>
        <v>-115.12467264969005</v>
      </c>
      <c r="AL11" s="64">
        <f>$AH11-'Cost of Sales'!I$15-(J11*Launch_Cost)</f>
        <v>-121.36345102238243</v>
      </c>
      <c r="AM11" s="64">
        <f>$AH11-'Cost of Sales'!J$15-(K11*Launch_Cost)</f>
        <v>-129.09903921361541</v>
      </c>
      <c r="AN11" s="64">
        <f>$AH11-'Cost of Sales'!K$15-(L11*Launch_Cost)</f>
        <v>-148.99617948586535</v>
      </c>
      <c r="AO11" s="64">
        <f>$AH11-'Cost of Sales'!L$15-(D11*Launch_Cost)</f>
        <v>-164.07395945139604</v>
      </c>
      <c r="AP11" s="64">
        <f>$AH11-'Cost of Sales'!M$15-(M11*Launch_Cost)</f>
        <v>-149.69751266038637</v>
      </c>
      <c r="AQ11" s="64">
        <f>$AH11-'Cost of Sales'!N$15-(N11*Launch_Cost)</f>
        <v>-158.74109655248833</v>
      </c>
      <c r="AR11" s="64">
        <f>$AH11-'Cost of Sales'!O$15-(O11*Launch_Cost)</f>
        <v>-175.45872443338902</v>
      </c>
      <c r="AS11" s="64">
        <f>$AH11-'Cost of Sales'!P$15-(P11*Launch_Cost)</f>
        <v>-177.48784055510541</v>
      </c>
      <c r="AT11" s="64">
        <f>$AH11-'Cost of Sales'!Q$15-(Q11*Launch_Cost)</f>
        <v>-187.31245870781393</v>
      </c>
    </row>
    <row r="12" spans="1:46" s="6" customFormat="1" x14ac:dyDescent="0.25">
      <c r="A12" t="s">
        <v>98</v>
      </c>
      <c r="B12" s="54">
        <v>350</v>
      </c>
      <c r="C12" s="12">
        <f>'350V Set-points'!I14</f>
        <v>4000</v>
      </c>
      <c r="D12" s="12">
        <f>'350V Set-points'!L14</f>
        <v>18475.990081780921</v>
      </c>
      <c r="E12" s="12">
        <f>'350V Set-points'!B14</f>
        <v>191.96800000000002</v>
      </c>
      <c r="F12" s="55">
        <f>'350V Set-points'!D14</f>
        <v>11.68</v>
      </c>
      <c r="G12" s="2">
        <f>'350V Set-points'!E14</f>
        <v>0.56999999999999995</v>
      </c>
      <c r="H12" s="12">
        <f>'350V Set-points'!F14</f>
        <v>1977</v>
      </c>
      <c r="I12" s="12">
        <f>'350V Set-points'!K14</f>
        <v>7415.9900817809221</v>
      </c>
      <c r="J12" s="12">
        <f>'350V Set-points'!G14</f>
        <v>3126</v>
      </c>
      <c r="K12" s="12">
        <f>'350V Set-points'!H14</f>
        <v>3934</v>
      </c>
      <c r="L12" s="12">
        <f>'350V Set-points'!J14</f>
        <v>11060</v>
      </c>
      <c r="M12" s="41">
        <f>'350V Set-points'!O14</f>
        <v>-2.2154578486267479E-2</v>
      </c>
      <c r="N12" s="12">
        <f>'350V Set-points'!R14</f>
        <v>32</v>
      </c>
      <c r="O12" s="12">
        <f>'350V Set-points'!S14</f>
        <v>5999</v>
      </c>
      <c r="P12" s="41">
        <f>'350V Set-points'!T14</f>
        <v>0.36499999999999999</v>
      </c>
      <c r="Q12" s="2">
        <f>'350V Set-points'!W14</f>
        <v>0.28391998781703376</v>
      </c>
      <c r="R12" s="12">
        <f>'350V Set-points'!X14</f>
        <v>26120</v>
      </c>
      <c r="S12">
        <f t="shared" si="0"/>
        <v>6.3217180504538089E-4</v>
      </c>
      <c r="T12" s="12">
        <f t="shared" si="1"/>
        <v>2004.4751139882583</v>
      </c>
      <c r="U12" s="12">
        <f t="shared" si="2"/>
        <v>9064.4751139882574</v>
      </c>
      <c r="V12">
        <f t="shared" si="3"/>
        <v>1.2885467556720935E-3</v>
      </c>
      <c r="W12">
        <f t="shared" si="4"/>
        <v>-6.0244542708382757E-4</v>
      </c>
      <c r="X12">
        <f t="shared" si="5"/>
        <v>-3.2606936051448518E-8</v>
      </c>
      <c r="Y12">
        <f t="shared" si="12"/>
        <v>-6.6462251758420794E-8</v>
      </c>
      <c r="Z12" s="12">
        <f t="shared" si="6"/>
        <v>45049.561555612549</v>
      </c>
      <c r="AA12" s="55">
        <f t="shared" si="13"/>
        <v>0.52140696244921936</v>
      </c>
      <c r="AB12" s="12">
        <f>ABS((1/Y12)*(1-EXP((Y12*'Mission Params'!$B$13)/V12)))</f>
        <v>3328246.3957341649</v>
      </c>
      <c r="AC12">
        <f t="shared" si="14"/>
        <v>38.521370320997278</v>
      </c>
      <c r="AD12" t="str">
        <f t="shared" si="7"/>
        <v>32 HET 5999W</v>
      </c>
      <c r="AE12">
        <f t="shared" si="8"/>
        <v>4000</v>
      </c>
      <c r="AF12" s="55">
        <f t="shared" si="15"/>
        <v>39.042777283446497</v>
      </c>
      <c r="AG12" s="55">
        <f t="shared" si="9"/>
        <v>6.8812384775694726</v>
      </c>
      <c r="AH12" s="59">
        <f t="shared" si="10"/>
        <v>150</v>
      </c>
      <c r="AI12" s="65" t="e">
        <f t="shared" si="11"/>
        <v>#NUM!</v>
      </c>
      <c r="AJ12" s="59">
        <v>-2000</v>
      </c>
      <c r="AK12" s="64">
        <f>$AH12-'Cost of Sales'!H$15-(I12*Launch_Cost)</f>
        <v>-120.72670135089336</v>
      </c>
      <c r="AL12" s="64">
        <f>$AH12-'Cost of Sales'!I$15-(J12*Launch_Cost)</f>
        <v>-121.42202390639498</v>
      </c>
      <c r="AM12" s="64">
        <f>$AH12-'Cost of Sales'!J$15-(K12*Launch_Cost)</f>
        <v>-130.7401250624583</v>
      </c>
      <c r="AN12" s="64">
        <f>$AH12-'Cost of Sales'!K$15-(L12*Launch_Cost)</f>
        <v>-150.69583821872081</v>
      </c>
      <c r="AO12" s="64">
        <f>$AH12-'Cost of Sales'!L$15-(D12*Launch_Cost)</f>
        <v>-171.37564688545478</v>
      </c>
      <c r="AP12" s="64">
        <f>$AH12-'Cost of Sales'!M$15-(M12*Launch_Cost)</f>
        <v>-149.69747031121364</v>
      </c>
      <c r="AQ12" s="64">
        <f>$AH12-'Cost of Sales'!N$15-(N12*Launch_Cost)</f>
        <v>-158.74109655248833</v>
      </c>
      <c r="AR12" s="64">
        <f>$AH12-'Cost of Sales'!O$15-(O12*Launch_Cost)</f>
        <v>-177.82204731740157</v>
      </c>
      <c r="AS12" s="64">
        <f>$AH12-'Cost of Sales'!P$15-(P12*Launch_Cost)</f>
        <v>-177.48815818833427</v>
      </c>
      <c r="AT12" s="64">
        <f>$AH12-'Cost of Sales'!Q$15-(Q12*Launch_Cost)</f>
        <v>-187.31265147393287</v>
      </c>
    </row>
    <row r="13" spans="1:46" s="6" customFormat="1" x14ac:dyDescent="0.25">
      <c r="A13" t="s">
        <v>43</v>
      </c>
      <c r="B13" s="54">
        <v>600</v>
      </c>
      <c r="C13" s="12">
        <f>'600V Set-points'!I14</f>
        <v>4000</v>
      </c>
      <c r="D13" s="12">
        <f>'600V Set-points'!L14</f>
        <v>16610.453736472748</v>
      </c>
      <c r="E13" s="12">
        <f>'600V Set-points'!B14</f>
        <v>202.464</v>
      </c>
      <c r="F13" s="55">
        <f>'600V Set-points'!D14</f>
        <v>9.44</v>
      </c>
      <c r="G13" s="2">
        <f>'600V Set-points'!E14</f>
        <v>0.60599999999999998</v>
      </c>
      <c r="H13" s="12">
        <f>'600V Set-points'!F14</f>
        <v>2583</v>
      </c>
      <c r="I13" s="12">
        <f>'600V Set-points'!K14</f>
        <v>5519.3207443018791</v>
      </c>
      <c r="J13" s="12">
        <f>'600V Set-points'!G14</f>
        <v>3125.66</v>
      </c>
      <c r="K13" s="12">
        <f>'600V Set-points'!H14</f>
        <v>3965.4729921708686</v>
      </c>
      <c r="L13" s="12">
        <f>'600V Set-points'!J14</f>
        <v>11091.132992170868</v>
      </c>
      <c r="M13" s="41">
        <f>'600V Set-points'!O14</f>
        <v>1.2858979794564795E-2</v>
      </c>
      <c r="N13" s="12">
        <f>'600V Set-points'!R14</f>
        <v>32</v>
      </c>
      <c r="O13" s="12">
        <f>'600V Set-points'!S14</f>
        <v>6327</v>
      </c>
      <c r="P13" s="41">
        <f>'600V Set-points'!T14</f>
        <v>0.29499999999999998</v>
      </c>
      <c r="Q13" s="2">
        <f>'600V Set-points'!W14</f>
        <v>0.21080378404232469</v>
      </c>
      <c r="R13" s="12">
        <f>'600V Set-points'!X14</f>
        <v>26182.265984341735</v>
      </c>
      <c r="S13">
        <f t="shared" si="0"/>
        <v>5.6831680517383605E-4</v>
      </c>
      <c r="T13" s="12">
        <f t="shared" si="1"/>
        <v>1494.8376678969912</v>
      </c>
      <c r="U13" s="12">
        <f t="shared" si="2"/>
        <v>8585.9706600678583</v>
      </c>
      <c r="V13">
        <f t="shared" si="3"/>
        <v>1.0994680012015544E-3</v>
      </c>
      <c r="W13">
        <f t="shared" si="4"/>
        <v>-3.7267402749982179E-4</v>
      </c>
      <c r="X13">
        <f t="shared" si="5"/>
        <v>-2.2436113631352229E-8</v>
      </c>
      <c r="Y13">
        <f t="shared" si="12"/>
        <v>-4.3404996622347693E-8</v>
      </c>
      <c r="Z13" s="12">
        <f t="shared" si="6"/>
        <v>50119.885028696786</v>
      </c>
      <c r="AA13" s="55">
        <f t="shared" si="13"/>
        <v>0.58009126190621285</v>
      </c>
      <c r="AB13" s="12">
        <f>ABS((1/Y13)*(1-EXP((Y13*'Mission Params'!$B$13)/V13)))</f>
        <v>4012374.9472156949</v>
      </c>
      <c r="AC13">
        <f t="shared" si="14"/>
        <v>46.439524852033507</v>
      </c>
      <c r="AD13" t="str">
        <f t="shared" si="7"/>
        <v>32 HET 6327W</v>
      </c>
      <c r="AE13">
        <f t="shared" si="8"/>
        <v>4000</v>
      </c>
      <c r="AF13" s="55">
        <f t="shared" si="15"/>
        <v>47.019616113939719</v>
      </c>
      <c r="AG13" s="55">
        <f t="shared" si="9"/>
        <v>5.9816829938498586</v>
      </c>
      <c r="AH13" s="59">
        <f t="shared" si="10"/>
        <v>150</v>
      </c>
      <c r="AI13" s="65" t="e">
        <f t="shared" si="11"/>
        <v>#NUM!</v>
      </c>
      <c r="AJ13" s="59">
        <v>-2000</v>
      </c>
      <c r="AK13" s="64">
        <f>$AH13-'Cost of Sales'!H$15-(I13*Launch_Cost)</f>
        <v>-117.60522360112378</v>
      </c>
      <c r="AL13" s="64">
        <f>$AH13-'Cost of Sales'!I$15-(J13*Launch_Cost)</f>
        <v>-121.42146434526646</v>
      </c>
      <c r="AM13" s="64">
        <f>$AH13-'Cost of Sales'!J$15-(K13*Launch_Cost)</f>
        <v>-130.79192230662667</v>
      </c>
      <c r="AN13" s="64">
        <f>$AH13-'Cost of Sales'!K$15-(L13*Launch_Cost)</f>
        <v>-150.74707590176064</v>
      </c>
      <c r="AO13" s="64">
        <f>$AH13-'Cost of Sales'!L$15-(D13*Launch_Cost)</f>
        <v>-168.30540681872503</v>
      </c>
      <c r="AP13" s="64">
        <f>$AH13-'Cost of Sales'!M$15-(M13*Launch_Cost)</f>
        <v>-149.69752793540829</v>
      </c>
      <c r="AQ13" s="64">
        <f>$AH13-'Cost of Sales'!N$15-(N13*Launch_Cost)</f>
        <v>-158.74109655248833</v>
      </c>
      <c r="AR13" s="64">
        <f>$AH13-'Cost of Sales'!O$15-(O13*Launch_Cost)</f>
        <v>-178.36185922962727</v>
      </c>
      <c r="AS13" s="64">
        <f>$AH13-'Cost of Sales'!P$15-(P13*Launch_Cost)</f>
        <v>-177.4880429845725</v>
      </c>
      <c r="AT13" s="64">
        <f>$AH13-'Cost of Sales'!Q$15-(Q13*Launch_Cost)</f>
        <v>-187.3125311416226</v>
      </c>
    </row>
    <row r="14" spans="1:46" s="6" customFormat="1" x14ac:dyDescent="0.25">
      <c r="A14" t="s">
        <v>100</v>
      </c>
      <c r="B14" s="54">
        <v>350</v>
      </c>
      <c r="C14" s="12">
        <f>'350V Set-points'!I17</f>
        <v>6000</v>
      </c>
      <c r="D14" s="12">
        <f>'350V Set-points'!L17</f>
        <v>24982.20420600193</v>
      </c>
      <c r="E14" s="12">
        <f>'350V Set-points'!B17</f>
        <v>257.92</v>
      </c>
      <c r="F14" s="55">
        <f>'350V Set-points'!D17</f>
        <v>14.88</v>
      </c>
      <c r="G14" s="2">
        <f>'350V Set-points'!E17</f>
        <v>0.56000000000000005</v>
      </c>
      <c r="H14" s="12">
        <f>'350V Set-points'!F17</f>
        <v>1979</v>
      </c>
      <c r="I14" s="12">
        <f>'350V Set-points'!K17</f>
        <v>10127.204206001932</v>
      </c>
      <c r="J14" s="12">
        <f>'350V Set-points'!G17</f>
        <v>3180</v>
      </c>
      <c r="K14" s="12">
        <f>'350V Set-points'!H17</f>
        <v>5675</v>
      </c>
      <c r="L14" s="12">
        <f>'350V Set-points'!J17</f>
        <v>14855</v>
      </c>
      <c r="M14" s="41">
        <f>'350V Set-points'!O17</f>
        <v>-1.1502084294982895E-2</v>
      </c>
      <c r="N14" s="12">
        <f>'350V Set-points'!R17</f>
        <v>32</v>
      </c>
      <c r="O14" s="12">
        <f>'350V Set-points'!S17</f>
        <v>8060</v>
      </c>
      <c r="P14" s="41">
        <f>'350V Set-points'!T17</f>
        <v>0.46500000000000002</v>
      </c>
      <c r="Q14" s="2">
        <f>'350V Set-points'!W17</f>
        <v>0.28359574925796505</v>
      </c>
      <c r="R14" s="12">
        <f>'350V Set-points'!X17</f>
        <v>35710</v>
      </c>
      <c r="S14">
        <f t="shared" si="0"/>
        <v>5.9562398406883194E-4</v>
      </c>
      <c r="T14" s="12">
        <f t="shared" si="1"/>
        <v>2511.2403596792806</v>
      </c>
      <c r="U14" s="12">
        <f t="shared" si="2"/>
        <v>11366.240359679281</v>
      </c>
      <c r="V14">
        <f t="shared" si="3"/>
        <v>1.3091400084046672E-3</v>
      </c>
      <c r="W14">
        <f t="shared" si="4"/>
        <v>-7.6672332552804188E-4</v>
      </c>
      <c r="X14">
        <f t="shared" si="5"/>
        <v>-3.0690779692843833E-8</v>
      </c>
      <c r="Y14">
        <f t="shared" si="12"/>
        <v>-6.7456194947972786E-8</v>
      </c>
      <c r="Z14" s="12">
        <f t="shared" si="6"/>
        <v>47813.863370212377</v>
      </c>
      <c r="AA14" s="55">
        <f t="shared" si="13"/>
        <v>0.55340119641449514</v>
      </c>
      <c r="AB14" s="12">
        <f>ABS((1/Y14)*(1-EXP((Y14*'Mission Params'!$B$13)/V14)))</f>
        <v>3276288.5048441133</v>
      </c>
      <c r="AC14">
        <f t="shared" si="14"/>
        <v>37.920005843103162</v>
      </c>
      <c r="AD14" t="str">
        <f t="shared" si="7"/>
        <v>32 HET 8060W</v>
      </c>
      <c r="AE14">
        <f t="shared" si="8"/>
        <v>6000</v>
      </c>
      <c r="AF14" s="55">
        <f t="shared" si="15"/>
        <v>38.47340703951766</v>
      </c>
      <c r="AG14" s="55">
        <f t="shared" si="9"/>
        <v>6.9559043445591202</v>
      </c>
      <c r="AH14" s="59">
        <f t="shared" si="10"/>
        <v>225</v>
      </c>
      <c r="AI14" s="65" t="e">
        <f t="shared" si="11"/>
        <v>#NUM!</v>
      </c>
      <c r="AJ14" s="59">
        <v>-2000</v>
      </c>
      <c r="AK14" s="64">
        <f>$AH14-'Cost of Sales'!H$15-(I14*Launch_Cost)</f>
        <v>-50.188730865677165</v>
      </c>
      <c r="AL14" s="64">
        <f>$AH14-'Cost of Sales'!I$15-(J14*Launch_Cost)</f>
        <v>-46.510895379749215</v>
      </c>
      <c r="AM14" s="64">
        <f>$AH14-'Cost of Sales'!J$15-(K14*Launch_Cost)</f>
        <v>-58.605407194119749</v>
      </c>
      <c r="AN14" s="64">
        <f>$AH14-'Cost of Sales'!K$15-(L14*Launch_Cost)</f>
        <v>-81.941527873893222</v>
      </c>
      <c r="AO14" s="64">
        <f>$AH14-'Cost of Sales'!L$15-(D14*Launch_Cost)</f>
        <v>-107.08336605541099</v>
      </c>
      <c r="AP14" s="64">
        <f>$AH14-'Cost of Sales'!M$15-(M14*Launch_Cost)</f>
        <v>-74.697487842747947</v>
      </c>
      <c r="AQ14" s="64">
        <f>$AH14-'Cost of Sales'!N$15-(N14*Launch_Cost)</f>
        <v>-83.741096552488344</v>
      </c>
      <c r="AR14" s="64">
        <f>$AH14-'Cost of Sales'!O$15-(O14*Launch_Cost)</f>
        <v>-106.21397521708809</v>
      </c>
      <c r="AS14" s="64">
        <f>$AH14-'Cost of Sales'!P$15-(P14*Launch_Cost)</f>
        <v>-102.48832276513677</v>
      </c>
      <c r="AT14" s="64">
        <f>$AH14-'Cost of Sales'!Q$15-(Q14*Launch_Cost)</f>
        <v>-112.31265094031143</v>
      </c>
    </row>
    <row r="15" spans="1:46" s="6" customFormat="1" x14ac:dyDescent="0.25">
      <c r="A15" s="6" t="s">
        <v>26</v>
      </c>
      <c r="B15" s="57">
        <v>400</v>
      </c>
      <c r="C15" s="11">
        <f>'400V Set-points'!I15</f>
        <v>8000</v>
      </c>
      <c r="D15" s="11">
        <f>'400V Set-points'!L15</f>
        <v>27546.790172235953</v>
      </c>
      <c r="E15" s="11">
        <f>'400V Set-points'!B15</f>
        <v>201.44</v>
      </c>
      <c r="F15" s="58">
        <f>'400V Set-points'!D15</f>
        <v>11.488</v>
      </c>
      <c r="G15" s="56">
        <f>'400V Set-points'!E15</f>
        <v>0.60599999999999998</v>
      </c>
      <c r="H15" s="11">
        <f>'400V Set-points'!F15</f>
        <v>2165</v>
      </c>
      <c r="I15" s="11">
        <f>'400V Set-points'!K15</f>
        <v>10692.350172235956</v>
      </c>
      <c r="J15" s="11">
        <f>'400V Set-points'!G15</f>
        <v>3179.71</v>
      </c>
      <c r="K15" s="11">
        <f>'400V Set-points'!H15</f>
        <v>5674.73</v>
      </c>
      <c r="L15" s="11">
        <f>'400V Set-points'!J15</f>
        <v>16854.439999999999</v>
      </c>
      <c r="M15" s="21">
        <f>'400V Set-points'!O15</f>
        <v>-2.4816334181113064E-2</v>
      </c>
      <c r="N15" s="11">
        <f>'400V Set-points'!R15</f>
        <v>32</v>
      </c>
      <c r="O15" s="11">
        <f>'400V Set-points'!S15</f>
        <v>6295</v>
      </c>
      <c r="P15" s="21">
        <f>'400V Set-points'!T15</f>
        <v>0.35899999999999999</v>
      </c>
      <c r="Q15" s="56">
        <f>'400V Set-points'!W15</f>
        <v>0.25635668404991829</v>
      </c>
      <c r="R15" s="11">
        <f>'400V Set-points'!X15</f>
        <v>41708.879999999997</v>
      </c>
      <c r="S15">
        <f t="shared" si="0"/>
        <v>4.1703588433249125E-4</v>
      </c>
      <c r="T15" s="12">
        <f t="shared" si="1"/>
        <v>2269.8948775189583</v>
      </c>
      <c r="U15" s="12">
        <f t="shared" si="2"/>
        <v>11124.334877518959</v>
      </c>
      <c r="V15">
        <f t="shared" si="3"/>
        <v>1.0326909542444616E-3</v>
      </c>
      <c r="W15">
        <f t="shared" si="4"/>
        <v>-5.4108820241672553E-4</v>
      </c>
      <c r="X15">
        <f t="shared" si="5"/>
        <v>-1.964251366615052E-8</v>
      </c>
      <c r="Y15">
        <f t="shared" si="12"/>
        <v>-4.8640049798411274E-8</v>
      </c>
      <c r="Z15" s="12">
        <f t="shared" si="6"/>
        <v>68293.595391873372</v>
      </c>
      <c r="AA15" s="55">
        <f t="shared" si="13"/>
        <v>0.79043513185038627</v>
      </c>
      <c r="AB15" s="12">
        <f>ABS((1/Y15)*(1-EXP((Y15*'Mission Params'!$B$13)/V15)))</f>
        <v>4196349.9401446655</v>
      </c>
      <c r="AC15">
        <f t="shared" si="14"/>
        <v>48.568865047970668</v>
      </c>
      <c r="AD15" t="str">
        <f t="shared" si="7"/>
        <v>32 HET 6295W</v>
      </c>
      <c r="AE15">
        <f t="shared" si="8"/>
        <v>8000</v>
      </c>
      <c r="AF15" s="55">
        <f t="shared" si="15"/>
        <v>49.359300179821055</v>
      </c>
      <c r="AG15" s="55">
        <f t="shared" si="9"/>
        <v>5.7607959520399943</v>
      </c>
      <c r="AH15" s="59">
        <f t="shared" si="10"/>
        <v>300</v>
      </c>
      <c r="AI15" s="65" t="e">
        <f t="shared" si="11"/>
        <v>#NUM!</v>
      </c>
      <c r="AJ15" s="59">
        <v>-2000</v>
      </c>
      <c r="AK15" s="64">
        <f>$AH15-'Cost of Sales'!H$15-(I15*Launch_Cost)</f>
        <v>23.881169973592858</v>
      </c>
      <c r="AL15" s="64">
        <f>$AH15-'Cost of Sales'!I$15-(J15*Launch_Cost)</f>
        <v>28.489581892978059</v>
      </c>
      <c r="AM15" s="64">
        <f>$AH15-'Cost of Sales'!J$15-(K15*Launch_Cost)</f>
        <v>16.395037163247025</v>
      </c>
      <c r="AN15" s="64">
        <f>$AH15-'Cost of Sales'!K$15-(L15*Launch_Cost)</f>
        <v>-10.23214229395591</v>
      </c>
      <c r="AO15" s="64">
        <f>$AH15-'Cost of Sales'!L$15-(D15*Launch_Cost)</f>
        <v>-36.30407963620366</v>
      </c>
      <c r="AP15" s="64">
        <f>$AH15-'Cost of Sales'!M$15-(M15*Launch_Cost)</f>
        <v>0.30253406941878719</v>
      </c>
      <c r="AQ15" s="64">
        <f>$AH15-'Cost of Sales'!N$15-(N15*Launch_Cost)</f>
        <v>-8.7410965524883384</v>
      </c>
      <c r="AR15" s="64">
        <f>$AH15-'Cost of Sales'!O$15-(O15*Launch_Cost)</f>
        <v>-28.309194652824772</v>
      </c>
      <c r="AS15" s="64">
        <f>$AH15-'Cost of Sales'!P$15-(P15*Launch_Cost)</f>
        <v>-27.488148313726107</v>
      </c>
      <c r="AT15" s="64">
        <f>$AH15-'Cost of Sales'!Q$15-(Q15*Launch_Cost)</f>
        <v>-37.312606111128872</v>
      </c>
    </row>
    <row r="16" spans="1:46" s="6" customFormat="1" x14ac:dyDescent="0.25">
      <c r="A16" t="s">
        <v>59</v>
      </c>
      <c r="B16" s="54">
        <v>800</v>
      </c>
      <c r="C16" s="12">
        <f>'800V Set-points'!I15</f>
        <v>8000</v>
      </c>
      <c r="D16" s="12">
        <f>'800V Set-points'!L15</f>
        <v>21573.449856921703</v>
      </c>
      <c r="E16" s="12">
        <f>'800V Set-points'!B15</f>
        <v>202.94400000000002</v>
      </c>
      <c r="F16" s="55">
        <f>'800V Set-points'!D15</f>
        <v>7.6159999999999997</v>
      </c>
      <c r="G16" s="2">
        <f>'800V Set-points'!E15</f>
        <v>0.57999999999999996</v>
      </c>
      <c r="H16" s="12">
        <f>'800V Set-points'!F15</f>
        <v>3152</v>
      </c>
      <c r="I16" s="12">
        <f>'800V Set-points'!K15</f>
        <v>6480.4498569217039</v>
      </c>
      <c r="J16" s="12">
        <f>'800V Set-points'!G15</f>
        <v>3126</v>
      </c>
      <c r="K16" s="12">
        <f>'800V Set-points'!H15</f>
        <v>3967</v>
      </c>
      <c r="L16" s="12">
        <f>'800V Set-points'!J15</f>
        <v>15093</v>
      </c>
      <c r="M16" s="41">
        <f>'800V Set-points'!O15</f>
        <v>1.8149835324456742E-2</v>
      </c>
      <c r="N16" s="12">
        <f>'800V Set-points'!R15</f>
        <v>32</v>
      </c>
      <c r="O16" s="12">
        <f>'800V Set-points'!S15</f>
        <v>6342</v>
      </c>
      <c r="P16" s="41">
        <f>'800V Set-points'!T15</f>
        <v>0.23799999999999999</v>
      </c>
      <c r="Q16" s="2">
        <f>'800V Set-points'!W15</f>
        <v>0.16970748067149488</v>
      </c>
      <c r="R16" s="12">
        <f>'800V Set-points'!X15</f>
        <v>38186</v>
      </c>
      <c r="S16">
        <f t="shared" si="0"/>
        <v>3.5302652336600932E-4</v>
      </c>
      <c r="T16" s="12">
        <f t="shared" si="1"/>
        <v>1203.7351604029132</v>
      </c>
      <c r="U16" s="12">
        <f t="shared" si="2"/>
        <v>8296.7351604029136</v>
      </c>
      <c r="V16">
        <f t="shared" si="3"/>
        <v>9.1795144147160468E-4</v>
      </c>
      <c r="W16">
        <f t="shared" si="4"/>
        <v>-2.4638953916977698E-4</v>
      </c>
      <c r="X16">
        <f t="shared" si="5"/>
        <v>-1.1420961450480508E-8</v>
      </c>
      <c r="Y16">
        <f t="shared" si="12"/>
        <v>-2.9697168151841017E-8</v>
      </c>
      <c r="Z16" s="12">
        <f t="shared" si="6"/>
        <v>80693.271953388205</v>
      </c>
      <c r="AA16" s="55">
        <f t="shared" si="13"/>
        <v>0.93394990686791901</v>
      </c>
      <c r="AB16" s="12">
        <f>ABS((1/Y16)*(1-EXP((Y16*'Mission Params'!$B$13)/V16)))</f>
        <v>4887060.7073595794</v>
      </c>
      <c r="AC16">
        <f t="shared" si="14"/>
        <v>56.563202631476614</v>
      </c>
      <c r="AD16" t="str">
        <f t="shared" si="7"/>
        <v>32 HET 6342W</v>
      </c>
      <c r="AE16">
        <f t="shared" si="8"/>
        <v>8000</v>
      </c>
      <c r="AF16" s="55">
        <f t="shared" si="15"/>
        <v>57.49715253834453</v>
      </c>
      <c r="AG16" s="55">
        <f t="shared" si="9"/>
        <v>5.1050984135941277</v>
      </c>
      <c r="AH16" s="59">
        <f t="shared" si="10"/>
        <v>300</v>
      </c>
      <c r="AI16" s="65" t="e">
        <f t="shared" si="11"/>
        <v>#NUM!</v>
      </c>
      <c r="AJ16" s="59">
        <v>-2000</v>
      </c>
      <c r="AK16" s="64">
        <f>$AH16-'Cost of Sales'!H$15-(I16*Launch_Cost)</f>
        <v>30.812980837354559</v>
      </c>
      <c r="AL16" s="64">
        <f>$AH16-'Cost of Sales'!I$15-(J16*Launch_Cost)</f>
        <v>28.57797609360502</v>
      </c>
      <c r="AM16" s="64">
        <f>$AH16-'Cost of Sales'!J$15-(K16*Launch_Cost)</f>
        <v>19.205564592714104</v>
      </c>
      <c r="AN16" s="64">
        <f>$AH16-'Cost of Sales'!K$15-(L16*Launch_Cost)</f>
        <v>-7.3332206638618658</v>
      </c>
      <c r="AO16" s="64">
        <f>$AH16-'Cost of Sales'!L$15-(D16*Launch_Cost)</f>
        <v>-26.473347142347919</v>
      </c>
      <c r="AP16" s="64">
        <f>$AH16-'Cost of Sales'!M$15-(M16*Launch_Cost)</f>
        <v>0.30246335707085481</v>
      </c>
      <c r="AQ16" s="64">
        <f>$AH16-'Cost of Sales'!N$15-(N16*Launch_Cost)</f>
        <v>-8.7410965524883384</v>
      </c>
      <c r="AR16" s="64">
        <f>$AH16-'Cost of Sales'!O$15-(O16*Launch_Cost)</f>
        <v>-28.386545750003453</v>
      </c>
      <c r="AS16" s="64">
        <f>$AH16-'Cost of Sales'!P$15-(P16*Launch_Cost)</f>
        <v>-27.487949175795073</v>
      </c>
      <c r="AT16" s="64">
        <f>$AH16-'Cost of Sales'!Q$15-(Q16*Launch_Cost)</f>
        <v>-37.312463506640555</v>
      </c>
    </row>
    <row r="17" spans="1:46" s="6" customFormat="1" x14ac:dyDescent="0.25">
      <c r="A17" t="s">
        <v>52</v>
      </c>
      <c r="B17" s="54">
        <v>800</v>
      </c>
      <c r="C17" s="12">
        <f>'800V Set-points'!I20</f>
        <v>8000</v>
      </c>
      <c r="D17" s="12">
        <f>'800V Set-points'!L20</f>
        <v>23622.509741851707</v>
      </c>
      <c r="E17" s="12">
        <f>'800V Set-points'!B20</f>
        <v>219.024</v>
      </c>
      <c r="F17" s="55">
        <f>'800V Set-points'!D20</f>
        <v>8.2560000000000002</v>
      </c>
      <c r="G17" s="2">
        <f>'800V Set-points'!E20</f>
        <v>0.59199999999999997</v>
      </c>
      <c r="H17" s="12">
        <f>'800V Set-points'!F20</f>
        <v>3203</v>
      </c>
      <c r="I17" s="12">
        <f>'800V Set-points'!K20</f>
        <v>6909.5097418517071</v>
      </c>
      <c r="J17" s="12">
        <f>'800V Set-points'!G20</f>
        <v>4096</v>
      </c>
      <c r="K17" s="12">
        <f>'800V Set-points'!H20</f>
        <v>4617</v>
      </c>
      <c r="L17" s="12">
        <f>'800V Set-points'!J20</f>
        <v>16713</v>
      </c>
      <c r="M17" s="41">
        <f>'800V Set-points'!O20</f>
        <v>8.0063949123771461E-3</v>
      </c>
      <c r="N17" s="12">
        <f>'800V Set-points'!R20</f>
        <v>48</v>
      </c>
      <c r="O17" s="12">
        <f>'800V Set-points'!S20</f>
        <v>4563</v>
      </c>
      <c r="P17" s="41">
        <f>'800V Set-points'!T20</f>
        <v>0.17199999999999999</v>
      </c>
      <c r="Q17" s="2">
        <f>'800V Set-points'!W20</f>
        <v>0.16679162221435107</v>
      </c>
      <c r="R17" s="12">
        <f>'800V Set-points'!X20</f>
        <v>41426</v>
      </c>
      <c r="S17">
        <f t="shared" si="0"/>
        <v>3.4949715717009307E-4</v>
      </c>
      <c r="T17" s="12">
        <f t="shared" si="1"/>
        <v>1453.2554043536409</v>
      </c>
      <c r="U17" s="12">
        <f t="shared" si="2"/>
        <v>10166.25540435364</v>
      </c>
      <c r="V17">
        <f t="shared" si="3"/>
        <v>8.12098424800976E-4</v>
      </c>
      <c r="W17">
        <f t="shared" si="4"/>
        <v>-2.6284171022110229E-4</v>
      </c>
      <c r="X17">
        <f t="shared" si="5"/>
        <v>-1.1126747881298527E-8</v>
      </c>
      <c r="Y17">
        <f t="shared" si="12"/>
        <v>-2.5854328832673419E-8</v>
      </c>
      <c r="Z17" s="12">
        <f t="shared" si="6"/>
        <v>81508.744056902098</v>
      </c>
      <c r="AA17" s="55">
        <f t="shared" si="13"/>
        <v>0.94338824139932986</v>
      </c>
      <c r="AB17" s="12">
        <f>ABS((1/Y17)*(1-EXP((Y17*'Mission Params'!$B$13)/V17)))</f>
        <v>5530786.4920591265</v>
      </c>
      <c r="AC17">
        <f t="shared" si="14"/>
        <v>64.013732546980634</v>
      </c>
      <c r="AD17" t="str">
        <f t="shared" si="7"/>
        <v>48 HET 4563W</v>
      </c>
      <c r="AE17">
        <f t="shared" si="8"/>
        <v>8000</v>
      </c>
      <c r="AF17" s="55">
        <f t="shared" si="15"/>
        <v>64.957120788379967</v>
      </c>
      <c r="AG17" s="55">
        <f t="shared" si="9"/>
        <v>4.6227622835724862</v>
      </c>
      <c r="AH17" s="59">
        <f t="shared" si="10"/>
        <v>300</v>
      </c>
      <c r="AI17" s="65" t="e">
        <f t="shared" si="11"/>
        <v>#NUM!</v>
      </c>
      <c r="AJ17" s="59">
        <v>-2000</v>
      </c>
      <c r="AK17" s="64">
        <f>$AH17-'Cost of Sales'!H$15-(I17*Launch_Cost)</f>
        <v>30.106847797892954</v>
      </c>
      <c r="AL17" s="64">
        <f>$AH17-'Cost of Sales'!I$15-(J17*Launch_Cost)</f>
        <v>26.981581109279002</v>
      </c>
      <c r="AM17" s="64">
        <f>$AH17-'Cost of Sales'!J$15-(K17*Launch_Cost)</f>
        <v>18.135815376413166</v>
      </c>
      <c r="AN17" s="64">
        <f>$AH17-'Cost of Sales'!K$15-(L17*Launch_Cost)</f>
        <v>-9.9993648644888253</v>
      </c>
      <c r="AO17" s="64">
        <f>$AH17-'Cost of Sales'!L$15-(D17*Launch_Cost)</f>
        <v>-29.845624382436483</v>
      </c>
      <c r="AP17" s="64">
        <f>$AH17-'Cost of Sales'!M$15-(M17*Launch_Cost)</f>
        <v>0.3024800508207493</v>
      </c>
      <c r="AQ17" s="64">
        <f>$AH17-'Cost of Sales'!N$15-(N17*Launch_Cost)</f>
        <v>-8.7674288408895915</v>
      </c>
      <c r="AR17" s="64">
        <f>$AH17-'Cost of Sales'!O$15-(O17*Launch_Cost)</f>
        <v>-25.458724433389033</v>
      </c>
      <c r="AS17" s="64">
        <f>$AH17-'Cost of Sales'!P$15-(P17*Launch_Cost)</f>
        <v>-27.487840555105418</v>
      </c>
      <c r="AT17" s="64">
        <f>$AH17-'Cost of Sales'!Q$15-(Q17*Launch_Cost)</f>
        <v>-37.312458707813938</v>
      </c>
    </row>
    <row r="18" spans="1:46" x14ac:dyDescent="0.25">
      <c r="A18" t="s">
        <v>55</v>
      </c>
      <c r="B18" s="54">
        <v>800</v>
      </c>
      <c r="C18" s="12">
        <f>'800V Set-points'!I18</f>
        <v>8000</v>
      </c>
      <c r="D18" s="12">
        <f>'800V Set-points'!L18</f>
        <v>24140.641613432115</v>
      </c>
      <c r="E18" s="12">
        <f>'800V Set-points'!B18</f>
        <v>257.50400000000002</v>
      </c>
      <c r="F18" s="55">
        <f>'800V Set-points'!D18</f>
        <v>10.4</v>
      </c>
      <c r="G18" s="2">
        <f>'800V Set-points'!E18</f>
        <v>0.60699999999999998</v>
      </c>
      <c r="H18" s="12">
        <f>'800V Set-points'!F18</f>
        <v>3068</v>
      </c>
      <c r="I18" s="12">
        <f>'800V Set-points'!K18</f>
        <v>7287.6416134321144</v>
      </c>
      <c r="J18" s="12">
        <f>'800V Set-points'!G18</f>
        <v>3180</v>
      </c>
      <c r="K18" s="12">
        <f>'800V Set-points'!H18</f>
        <v>5673</v>
      </c>
      <c r="L18" s="12">
        <f>'800V Set-points'!J18</f>
        <v>16853</v>
      </c>
      <c r="M18" s="41">
        <f>'800V Set-points'!O18</f>
        <v>1.7839698486119743E-2</v>
      </c>
      <c r="N18" s="12">
        <f>'800V Set-points'!R18</f>
        <v>32</v>
      </c>
      <c r="O18" s="12">
        <f>'800V Set-points'!S18</f>
        <v>8047</v>
      </c>
      <c r="P18" s="41">
        <f>'800V Set-points'!T18</f>
        <v>0.32500000000000001</v>
      </c>
      <c r="Q18" s="2">
        <f>'800V Set-points'!W18</f>
        <v>0.17473844562969632</v>
      </c>
      <c r="R18" s="12">
        <f>'800V Set-points'!X18</f>
        <v>41706</v>
      </c>
      <c r="S18">
        <f t="shared" si="0"/>
        <v>4.3080876500868674E-4</v>
      </c>
      <c r="T18" s="12">
        <f t="shared" si="1"/>
        <v>1546.9594591597015</v>
      </c>
      <c r="U18" s="12">
        <f t="shared" si="2"/>
        <v>10399.959459159702</v>
      </c>
      <c r="V18">
        <f t="shared" si="3"/>
        <v>1.0000038981729166E-3</v>
      </c>
      <c r="W18">
        <f t="shared" si="4"/>
        <v>-3.4566827529159712E-4</v>
      </c>
      <c r="X18">
        <f t="shared" si="5"/>
        <v>-1.4318934882793818E-8</v>
      </c>
      <c r="Y18">
        <f t="shared" si="12"/>
        <v>-3.3237463727529423E-8</v>
      </c>
      <c r="Z18" s="12">
        <f t="shared" si="6"/>
        <v>66123.319817549229</v>
      </c>
      <c r="AA18" s="55">
        <f t="shared" si="13"/>
        <v>0.76531620159200497</v>
      </c>
      <c r="AB18" s="12">
        <f>ABS((1/Y18)*(1-EXP((Y18*'Mission Params'!$B$13)/V18)))</f>
        <v>4476701.6998020895</v>
      </c>
      <c r="AC18">
        <f t="shared" si="14"/>
        <v>51.813677081042705</v>
      </c>
      <c r="AD18" t="str">
        <f t="shared" si="7"/>
        <v>32 HET 8047W</v>
      </c>
      <c r="AE18">
        <f t="shared" si="8"/>
        <v>8000</v>
      </c>
      <c r="AF18" s="55">
        <f t="shared" si="15"/>
        <v>52.578993282634713</v>
      </c>
      <c r="AG18" s="55">
        <f t="shared" si="9"/>
        <v>5.4822096580904613</v>
      </c>
      <c r="AH18" s="59">
        <f t="shared" si="10"/>
        <v>300</v>
      </c>
      <c r="AI18" s="65" t="e">
        <f t="shared" si="11"/>
        <v>#NUM!</v>
      </c>
      <c r="AJ18" s="59">
        <v>-2000</v>
      </c>
      <c r="AK18" s="64">
        <f>$AH18-'Cost of Sales'!H$15-(I18*Launch_Cost)</f>
        <v>29.484530454382877</v>
      </c>
      <c r="AL18" s="64">
        <f>$AH18-'Cost of Sales'!I$15-(J18*Launch_Cost)</f>
        <v>28.489104620250789</v>
      </c>
      <c r="AM18" s="64">
        <f>$AH18-'Cost of Sales'!J$15-(K18*Launch_Cost)</f>
        <v>16.397884341930407</v>
      </c>
      <c r="AN18" s="64">
        <f>$AH18-'Cost of Sales'!K$15-(L18*Launch_Cost)</f>
        <v>-10.229772387999798</v>
      </c>
      <c r="AO18" s="64">
        <f>$AH18-'Cost of Sales'!L$15-(D18*Launch_Cost)</f>
        <v>-30.698349249457529</v>
      </c>
      <c r="AP18" s="64">
        <f>$AH18-'Cost of Sales'!M$15-(M18*Launch_Cost)</f>
        <v>0.30246386748414678</v>
      </c>
      <c r="AQ18" s="64">
        <f>$AH18-'Cost of Sales'!N$15-(N18*Launch_Cost)</f>
        <v>-8.7410965524883384</v>
      </c>
      <c r="AR18" s="64">
        <f>$AH18-'Cost of Sales'!O$15-(O18*Launch_Cost)</f>
        <v>-31.192580232762076</v>
      </c>
      <c r="AS18" s="64">
        <f>$AH18-'Cost of Sales'!P$15-(P18*Launch_Cost)</f>
        <v>-27.488092357613255</v>
      </c>
      <c r="AT18" s="64">
        <f>$AH18-'Cost of Sales'!Q$15-(Q18*Launch_Cost)</f>
        <v>-37.312471786441819</v>
      </c>
    </row>
    <row r="19" spans="1:46" x14ac:dyDescent="0.25">
      <c r="A19" t="s">
        <v>47</v>
      </c>
      <c r="B19" s="54">
        <v>600</v>
      </c>
      <c r="C19" s="12">
        <f>'600V Set-points'!I18</f>
        <v>8000</v>
      </c>
      <c r="D19" s="12">
        <f>'600V Set-points'!L18</f>
        <v>25448.990196905412</v>
      </c>
      <c r="E19" s="12">
        <f>'600V Set-points'!B18</f>
        <v>257.85599999999999</v>
      </c>
      <c r="F19" s="55">
        <f>'600V Set-points'!D18</f>
        <v>12.064</v>
      </c>
      <c r="G19" s="2">
        <f>'600V Set-points'!E18</f>
        <v>0.60599999999999998</v>
      </c>
      <c r="H19" s="12">
        <f>'600V Set-points'!F18</f>
        <v>2637</v>
      </c>
      <c r="I19" s="12">
        <f>'600V Set-points'!K18</f>
        <v>8594.8395372051327</v>
      </c>
      <c r="J19" s="12">
        <f>'600V Set-points'!G18</f>
        <v>3179.71</v>
      </c>
      <c r="K19" s="12">
        <f>'600V Set-points'!H18</f>
        <v>5674.4406597002799</v>
      </c>
      <c r="L19" s="12">
        <f>'600V Set-points'!J18</f>
        <v>16854.150659700281</v>
      </c>
      <c r="M19" s="41">
        <f>'600V Set-points'!O18</f>
        <v>-5.2408915819204815E-4</v>
      </c>
      <c r="N19" s="12">
        <f>'600V Set-points'!R18</f>
        <v>32</v>
      </c>
      <c r="O19" s="12">
        <f>'600V Set-points'!S18</f>
        <v>8058</v>
      </c>
      <c r="P19" s="41">
        <f>'600V Set-points'!T18</f>
        <v>0.377</v>
      </c>
      <c r="Q19" s="2">
        <f>'600V Set-points'!W18</f>
        <v>0.2060702369867855</v>
      </c>
      <c r="R19" s="12">
        <f>'600V Set-points'!X18</f>
        <v>41708.301319400562</v>
      </c>
      <c r="S19">
        <f t="shared" si="0"/>
        <v>4.7404631408388764E-4</v>
      </c>
      <c r="T19" s="12">
        <f t="shared" si="1"/>
        <v>1824.5769247611402</v>
      </c>
      <c r="U19" s="12">
        <f t="shared" si="2"/>
        <v>10678.72758446142</v>
      </c>
      <c r="V19">
        <f t="shared" si="3"/>
        <v>1.1297226101688637E-3</v>
      </c>
      <c r="W19">
        <f t="shared" si="4"/>
        <v>-4.6651191185808082E-4</v>
      </c>
      <c r="X19">
        <f t="shared" si="5"/>
        <v>-1.8331254334594719E-8</v>
      </c>
      <c r="Y19">
        <f t="shared" si="12"/>
        <v>-4.3686095386205068E-8</v>
      </c>
      <c r="Z19" s="12">
        <f t="shared" si="6"/>
        <v>60087.590953996536</v>
      </c>
      <c r="AA19" s="55">
        <f t="shared" si="13"/>
        <v>0.69545822863421913</v>
      </c>
      <c r="AB19" s="12">
        <f>ABS((1/Y19)*(1-EXP((Y19*'Mission Params'!$B$13)/V19)))</f>
        <v>3912337.5766729158</v>
      </c>
      <c r="AC19">
        <f t="shared" si="14"/>
        <v>45.281684915195783</v>
      </c>
      <c r="AD19" t="str">
        <f t="shared" si="7"/>
        <v>32 HET 8058W</v>
      </c>
      <c r="AE19">
        <f t="shared" si="8"/>
        <v>8000</v>
      </c>
      <c r="AF19" s="55">
        <f t="shared" si="15"/>
        <v>45.977143143829998</v>
      </c>
      <c r="AG19" s="55">
        <f t="shared" si="9"/>
        <v>6.0856516477402192</v>
      </c>
      <c r="AH19" s="59">
        <f t="shared" si="10"/>
        <v>300</v>
      </c>
      <c r="AI19" s="65" t="e">
        <f t="shared" si="11"/>
        <v>#NUM!</v>
      </c>
      <c r="AJ19" s="59">
        <v>-2000</v>
      </c>
      <c r="AK19" s="64">
        <f>$AH19-'Cost of Sales'!H$15-(I19*Launch_Cost)</f>
        <v>27.333185908988412</v>
      </c>
      <c r="AL19" s="64">
        <f>$AH19-'Cost of Sales'!I$15-(J19*Launch_Cost)</f>
        <v>28.489581892978059</v>
      </c>
      <c r="AM19" s="64">
        <f>$AH19-'Cost of Sales'!J$15-(K19*Launch_Cost)</f>
        <v>16.395513350260668</v>
      </c>
      <c r="AN19" s="64">
        <f>$AH19-'Cost of Sales'!K$15-(L19*Launch_Cost)</f>
        <v>-10.231666106942267</v>
      </c>
      <c r="AO19" s="64">
        <f>$AH19-'Cost of Sales'!L$15-(D19*Launch_Cost)</f>
        <v>-32.851587513794463</v>
      </c>
      <c r="AP19" s="64">
        <f>$AH19-'Cost of Sales'!M$15-(M19*Launch_Cost)</f>
        <v>0.30249409001867111</v>
      </c>
      <c r="AQ19" s="64">
        <f>$AH19-'Cost of Sales'!N$15-(N19*Launch_Cost)</f>
        <v>-8.7410965524883384</v>
      </c>
      <c r="AR19" s="64">
        <f>$AH19-'Cost of Sales'!O$15-(O19*Launch_Cost)</f>
        <v>-31.210683681037935</v>
      </c>
      <c r="AS19" s="64">
        <f>$AH19-'Cost of Sales'!P$15-(P19*Launch_Cost)</f>
        <v>-27.48817793755056</v>
      </c>
      <c r="AT19" s="64">
        <f>$AH19-'Cost of Sales'!Q$15-(Q19*Launch_Cost)</f>
        <v>-37.312523351302204</v>
      </c>
    </row>
    <row r="20" spans="1:46" x14ac:dyDescent="0.25">
      <c r="A20" s="6" t="s">
        <v>27</v>
      </c>
      <c r="B20" s="57">
        <v>400</v>
      </c>
      <c r="C20" s="11">
        <f>'400V Set-points'!I18</f>
        <v>8000</v>
      </c>
      <c r="D20" s="11">
        <f>'400V Set-points'!L18</f>
        <v>27267.04447835069</v>
      </c>
      <c r="E20" s="11">
        <f>'400V Set-points'!B18</f>
        <v>257.952</v>
      </c>
      <c r="F20" s="58">
        <f>'400V Set-points'!D18</f>
        <v>14.368</v>
      </c>
      <c r="G20" s="56">
        <f>'400V Set-points'!E18</f>
        <v>0.60599999999999998</v>
      </c>
      <c r="H20" s="11">
        <f>'400V Set-points'!F18</f>
        <v>2217</v>
      </c>
      <c r="I20" s="11">
        <f>'400V Set-points'!K18</f>
        <v>10412.60447835069</v>
      </c>
      <c r="J20" s="11">
        <f>'400V Set-points'!G18</f>
        <v>3179.71</v>
      </c>
      <c r="K20" s="11">
        <f>'400V Set-points'!H18</f>
        <v>5674.73</v>
      </c>
      <c r="L20" s="11">
        <f>'400V Set-points'!J18</f>
        <v>16854.439999999999</v>
      </c>
      <c r="M20" s="21">
        <f>'400V Set-points'!O18</f>
        <v>-2.1881256264017573E-2</v>
      </c>
      <c r="N20" s="11">
        <f>'400V Set-points'!R18</f>
        <v>32</v>
      </c>
      <c r="O20" s="11">
        <f>'400V Set-points'!S18</f>
        <v>8061</v>
      </c>
      <c r="P20" s="21">
        <f>'400V Set-points'!T18</f>
        <v>0.44900000000000001</v>
      </c>
      <c r="Q20" s="56">
        <f>'400V Set-points'!W18</f>
        <v>0.24964958249539881</v>
      </c>
      <c r="R20" s="11">
        <f>'400V Set-points'!X18</f>
        <v>41708.879999999997</v>
      </c>
      <c r="S20">
        <f t="shared" si="0"/>
        <v>5.2693646395772053E-4</v>
      </c>
      <c r="T20" s="12">
        <f t="shared" si="1"/>
        <v>2210.507249230559</v>
      </c>
      <c r="U20" s="12">
        <f t="shared" si="2"/>
        <v>11064.947249230558</v>
      </c>
      <c r="V20">
        <f t="shared" si="3"/>
        <v>1.298515002048395E-3</v>
      </c>
      <c r="W20">
        <f t="shared" si="4"/>
        <v>-6.6086410686511143E-4</v>
      </c>
      <c r="X20">
        <f t="shared" si="5"/>
        <v>-2.4236734105517742E-8</v>
      </c>
      <c r="Y20">
        <f t="shared" si="12"/>
        <v>-5.9725915721023162E-8</v>
      </c>
      <c r="Z20" s="12">
        <f t="shared" si="6"/>
        <v>54050.782520827546</v>
      </c>
      <c r="AA20" s="55">
        <f t="shared" si="13"/>
        <v>0.62558776065772626</v>
      </c>
      <c r="AB20" s="12">
        <f>ABS((1/Y20)*(1-EXP((Y20*'Mission Params'!$B$13)/V20)))</f>
        <v>3345909.3379220455</v>
      </c>
      <c r="AC20">
        <f t="shared" si="14"/>
        <v>38.7258025222459</v>
      </c>
      <c r="AD20" t="str">
        <f t="shared" si="7"/>
        <v>32 HET 8061W</v>
      </c>
      <c r="AE20">
        <f t="shared" si="8"/>
        <v>8000</v>
      </c>
      <c r="AF20" s="55">
        <f t="shared" si="15"/>
        <v>39.351390282903623</v>
      </c>
      <c r="AG20" s="55">
        <f t="shared" si="9"/>
        <v>6.8414337108092891</v>
      </c>
      <c r="AH20" s="59">
        <f t="shared" si="10"/>
        <v>300</v>
      </c>
      <c r="AI20" s="65" t="e">
        <f t="shared" si="11"/>
        <v>#NUM!</v>
      </c>
      <c r="AJ20" s="59">
        <v>-2000</v>
      </c>
      <c r="AK20" s="64">
        <f>$AH20-'Cost of Sales'!H$15-(I20*Launch_Cost)</f>
        <v>24.34156649174259</v>
      </c>
      <c r="AL20" s="64">
        <f>$AH20-'Cost of Sales'!I$15-(J20*Launch_Cost)</f>
        <v>28.489581892978059</v>
      </c>
      <c r="AM20" s="64">
        <f>$AH20-'Cost of Sales'!J$15-(K20*Launch_Cost)</f>
        <v>16.395037163247025</v>
      </c>
      <c r="AN20" s="64">
        <f>$AH20-'Cost of Sales'!K$15-(L20*Launch_Cost)</f>
        <v>-10.23214229395591</v>
      </c>
      <c r="AO20" s="64">
        <f>$AH20-'Cost of Sales'!L$15-(D20*Launch_Cost)</f>
        <v>-35.843683118053931</v>
      </c>
      <c r="AP20" s="64">
        <f>$AH20-'Cost of Sales'!M$15-(M20*Launch_Cost)</f>
        <v>0.3025292389614001</v>
      </c>
      <c r="AQ20" s="64">
        <f>$AH20-'Cost of Sales'!N$15-(N20*Launch_Cost)</f>
        <v>-8.7410965524883384</v>
      </c>
      <c r="AR20" s="64">
        <f>$AH20-'Cost of Sales'!O$15-(O20*Launch_Cost)</f>
        <v>-31.215620985113169</v>
      </c>
      <c r="AS20" s="64">
        <f>$AH20-'Cost of Sales'!P$15-(P20*Launch_Cost)</f>
        <v>-27.488296432848365</v>
      </c>
      <c r="AT20" s="64">
        <f>$AH20-'Cost of Sales'!Q$15-(Q20*Launch_Cost)</f>
        <v>-37.312595072795595</v>
      </c>
    </row>
    <row r="21" spans="1:46" x14ac:dyDescent="0.25">
      <c r="A21" s="6" t="s">
        <v>36</v>
      </c>
      <c r="B21" s="57">
        <v>400</v>
      </c>
      <c r="C21" s="11">
        <f>'400V Set-points'!I24</f>
        <v>8000</v>
      </c>
      <c r="D21" s="11">
        <f>'400V Set-points'!L24</f>
        <v>31214.73224993745</v>
      </c>
      <c r="E21" s="11">
        <f>'400V Set-points'!B24</f>
        <v>302.16000000000003</v>
      </c>
      <c r="F21" s="58">
        <f>'400V Set-points'!D24</f>
        <v>17.231999999999999</v>
      </c>
      <c r="G21" s="56">
        <f>'400V Set-points'!E24</f>
        <v>0.60599999999999998</v>
      </c>
      <c r="H21" s="11">
        <f>'400V Set-points'!F24</f>
        <v>2165</v>
      </c>
      <c r="I21" s="11">
        <f>'400V Set-points'!K24</f>
        <v>11935.54863687022</v>
      </c>
      <c r="J21" s="11">
        <f>'400V Set-points'!G24</f>
        <v>4167.3599999999997</v>
      </c>
      <c r="K21" s="11">
        <f>'400V Set-points'!H24</f>
        <v>7111.8236130672267</v>
      </c>
      <c r="L21" s="11">
        <f>'400V Set-points'!J24</f>
        <v>19279.183613067227</v>
      </c>
      <c r="M21" s="21">
        <f>'400V Set-points'!O24</f>
        <v>-6.680973025912057E-3</v>
      </c>
      <c r="N21" s="11">
        <f>'400V Set-points'!R24</f>
        <v>48</v>
      </c>
      <c r="O21" s="11">
        <f>'400V Set-points'!S24</f>
        <v>6295</v>
      </c>
      <c r="P21" s="21">
        <f>'400V Set-points'!T24</f>
        <v>0.35899999999999999</v>
      </c>
      <c r="Q21" s="56">
        <f>'400V Set-points'!W24</f>
        <v>0.25635668404991829</v>
      </c>
      <c r="R21" s="11">
        <f>'400V Set-points'!X24</f>
        <v>46558.367226134455</v>
      </c>
      <c r="S21">
        <f t="shared" si="0"/>
        <v>5.5204702260531265E-4</v>
      </c>
      <c r="T21" s="12">
        <f t="shared" si="1"/>
        <v>2891.494109836091</v>
      </c>
      <c r="U21" s="12">
        <f t="shared" si="2"/>
        <v>14170.677722903318</v>
      </c>
      <c r="V21">
        <f t="shared" si="3"/>
        <v>1.2160321712876745E-3</v>
      </c>
      <c r="W21">
        <f t="shared" si="4"/>
        <v>-8.1163230362508835E-4</v>
      </c>
      <c r="X21">
        <f t="shared" si="5"/>
        <v>-2.6001578265234512E-8</v>
      </c>
      <c r="Y21">
        <f t="shared" si="12"/>
        <v>-5.7275475421566462E-8</v>
      </c>
      <c r="Z21" s="12">
        <f t="shared" si="6"/>
        <v>51591.402149192887</v>
      </c>
      <c r="AA21" s="55">
        <f t="shared" si="13"/>
        <v>0.59712271006010287</v>
      </c>
      <c r="AB21" s="12">
        <f>ABS((1/Y21)*(1-EXP((Y21*'Mission Params'!$B$13)/V21)))</f>
        <v>3563666.0989345713</v>
      </c>
      <c r="AC21">
        <f t="shared" si="14"/>
        <v>41.246135404335313</v>
      </c>
      <c r="AD21" t="str">
        <f t="shared" si="7"/>
        <v>48 HET 6295W</v>
      </c>
      <c r="AE21">
        <f t="shared" si="8"/>
        <v>8000</v>
      </c>
      <c r="AF21" s="55">
        <f t="shared" si="15"/>
        <v>41.843258114395418</v>
      </c>
      <c r="AG21" s="55">
        <f t="shared" si="9"/>
        <v>6.5361515843558804</v>
      </c>
      <c r="AH21" s="59">
        <f t="shared" si="10"/>
        <v>300</v>
      </c>
      <c r="AI21" s="65" t="e">
        <f t="shared" si="11"/>
        <v>#NUM!</v>
      </c>
      <c r="AJ21" s="59">
        <v>-2000</v>
      </c>
      <c r="AK21" s="64">
        <f>$AH21-'Cost of Sales'!H$15-(I21*Launch_Cost)</f>
        <v>21.835153691671263</v>
      </c>
      <c r="AL21" s="64">
        <f>$AH21-'Cost of Sales'!I$15-(J21*Launch_Cost)</f>
        <v>26.864139103009411</v>
      </c>
      <c r="AM21" s="64">
        <f>$AH21-'Cost of Sales'!J$15-(K21*Launch_Cost)</f>
        <v>14.029914445816633</v>
      </c>
      <c r="AN21" s="64">
        <f>$AH21-'Cost of Sales'!K$15-(L21*Launch_Cost)</f>
        <v>-14.222707801354954</v>
      </c>
      <c r="AO21" s="64">
        <f>$AH21-'Cost of Sales'!L$15-(D21*Launch_Cost)</f>
        <v>-42.340661425524303</v>
      </c>
      <c r="AP21" s="64">
        <f>$AH21-'Cost of Sales'!M$15-(M21*Launch_Cost)</f>
        <v>0.3025042228212747</v>
      </c>
      <c r="AQ21" s="64">
        <f>$AH21-'Cost of Sales'!N$15-(N21*Launch_Cost)</f>
        <v>-8.7674288408895915</v>
      </c>
      <c r="AR21" s="64">
        <f>$AH21-'Cost of Sales'!O$15-(O21*Launch_Cost)</f>
        <v>-28.309194652824772</v>
      </c>
      <c r="AS21" s="64">
        <f>$AH21-'Cost of Sales'!P$15-(P21*Launch_Cost)</f>
        <v>-27.488148313726107</v>
      </c>
      <c r="AT21" s="64">
        <f>$AH21-'Cost of Sales'!Q$15-(Q21*Launch_Cost)</f>
        <v>-37.312606111128872</v>
      </c>
    </row>
    <row r="22" spans="1:46" x14ac:dyDescent="0.25">
      <c r="A22" t="s">
        <v>44</v>
      </c>
      <c r="B22" s="54">
        <v>600</v>
      </c>
      <c r="C22" s="12">
        <f>'600V Set-points'!I24</f>
        <v>8000</v>
      </c>
      <c r="D22" s="12">
        <f>'600V Set-points'!L24</f>
        <v>29100.350147629768</v>
      </c>
      <c r="E22" s="12">
        <f>'600V Set-points'!B24</f>
        <v>303.69600000000003</v>
      </c>
      <c r="F22" s="55">
        <f>'600V Set-points'!D24</f>
        <v>14.16</v>
      </c>
      <c r="G22" s="2">
        <f>'600V Set-points'!E24</f>
        <v>0.60599999999999998</v>
      </c>
      <c r="H22" s="12">
        <f>'600V Set-points'!F24</f>
        <v>2583</v>
      </c>
      <c r="I22" s="12">
        <f>'600V Set-points'!K24</f>
        <v>9816.603711033129</v>
      </c>
      <c r="J22" s="12">
        <f>'600V Set-points'!G24</f>
        <v>4167.3599999999997</v>
      </c>
      <c r="K22" s="12">
        <f>'600V Set-points'!H24</f>
        <v>7116.3864365966383</v>
      </c>
      <c r="L22" s="12">
        <f>'600V Set-points'!J24</f>
        <v>19283.746436596637</v>
      </c>
      <c r="M22" s="41">
        <f>'600V Set-points'!O24</f>
        <v>1.6205410984084734E-2</v>
      </c>
      <c r="N22" s="12">
        <f>'600V Set-points'!R24</f>
        <v>48</v>
      </c>
      <c r="O22" s="12">
        <f>'600V Set-points'!S24</f>
        <v>6327</v>
      </c>
      <c r="P22" s="41">
        <f>'600V Set-points'!T24</f>
        <v>0.29499999999999998</v>
      </c>
      <c r="Q22" s="2">
        <f>'600V Set-points'!W24</f>
        <v>0.21080378404232469</v>
      </c>
      <c r="R22" s="12">
        <f>'600V Set-points'!X24</f>
        <v>46567.492873193274</v>
      </c>
      <c r="S22">
        <f t="shared" si="0"/>
        <v>4.8659208319365655E-4</v>
      </c>
      <c r="T22" s="12">
        <f t="shared" si="1"/>
        <v>2378.6564470086682</v>
      </c>
      <c r="U22" s="12">
        <f t="shared" si="2"/>
        <v>13662.402883605306</v>
      </c>
      <c r="V22">
        <f t="shared" si="3"/>
        <v>1.0364209078471698E-3</v>
      </c>
      <c r="W22">
        <f t="shared" si="4"/>
        <v>-5.5901104124973268E-4</v>
      </c>
      <c r="X22">
        <f t="shared" si="5"/>
        <v>-1.9209770274714865E-8</v>
      </c>
      <c r="Y22">
        <f t="shared" si="12"/>
        <v>-4.0916012066994322E-8</v>
      </c>
      <c r="Z22" s="12">
        <f t="shared" si="6"/>
        <v>58537.682627797156</v>
      </c>
      <c r="AA22" s="55">
        <f t="shared" si="13"/>
        <v>0.6775194748587634</v>
      </c>
      <c r="AB22" s="12">
        <f>ABS((1/Y22)*(1-EXP((Y22*'Mission Params'!$B$13)/V22)))</f>
        <v>4256453.9463506732</v>
      </c>
      <c r="AC22">
        <f t="shared" si="14"/>
        <v>49.264513267947606</v>
      </c>
      <c r="AD22" t="str">
        <f t="shared" si="7"/>
        <v>48 HET 6327W</v>
      </c>
      <c r="AE22">
        <f t="shared" si="8"/>
        <v>8000</v>
      </c>
      <c r="AF22" s="55">
        <f t="shared" si="15"/>
        <v>49.942032742806369</v>
      </c>
      <c r="AG22" s="55">
        <f t="shared" si="9"/>
        <v>5.7082952221449883</v>
      </c>
      <c r="AH22" s="59">
        <f t="shared" si="10"/>
        <v>300</v>
      </c>
      <c r="AI22" s="65" t="e">
        <f t="shared" si="11"/>
        <v>#NUM!</v>
      </c>
      <c r="AJ22" s="59">
        <v>-2000</v>
      </c>
      <c r="AK22" s="64">
        <f>$AH22-'Cost of Sales'!H$15-(I22*Launch_Cost)</f>
        <v>25.322445497516007</v>
      </c>
      <c r="AL22" s="64">
        <f>$AH22-'Cost of Sales'!I$15-(J22*Launch_Cost)</f>
        <v>26.864139103009411</v>
      </c>
      <c r="AM22" s="64">
        <f>$AH22-'Cost of Sales'!J$15-(K22*Launch_Cost)</f>
        <v>14.022405096747852</v>
      </c>
      <c r="AN22" s="64">
        <f>$AH22-'Cost of Sales'!K$15-(L22*Launch_Cost)</f>
        <v>-14.23021715042373</v>
      </c>
      <c r="AO22" s="64">
        <f>$AH22-'Cost of Sales'!L$15-(D22*Launch_Cost)</f>
        <v>-38.860878968748338</v>
      </c>
      <c r="AP22" s="64">
        <f>$AH22-'Cost of Sales'!M$15-(M22*Launch_Cost)</f>
        <v>0.30246655714226139</v>
      </c>
      <c r="AQ22" s="64">
        <f>$AH22-'Cost of Sales'!N$15-(N22*Launch_Cost)</f>
        <v>-8.7674288408895915</v>
      </c>
      <c r="AR22" s="64">
        <f>$AH22-'Cost of Sales'!O$15-(O22*Launch_Cost)</f>
        <v>-28.361859229627278</v>
      </c>
      <c r="AS22" s="64">
        <f>$AH22-'Cost of Sales'!P$15-(P22*Launch_Cost)</f>
        <v>-27.488042984572502</v>
      </c>
      <c r="AT22" s="64">
        <f>$AH22-'Cost of Sales'!Q$15-(Q22*Launch_Cost)</f>
        <v>-37.312531141622593</v>
      </c>
    </row>
    <row r="23" spans="1:46" x14ac:dyDescent="0.25">
      <c r="A23" t="s">
        <v>55</v>
      </c>
      <c r="B23" s="54">
        <v>800</v>
      </c>
      <c r="C23" s="12">
        <f>'800V Set-points'!I19</f>
        <v>12000</v>
      </c>
      <c r="D23" s="12">
        <f>'800V Set-points'!L19</f>
        <v>30237.50296098847</v>
      </c>
      <c r="E23" s="12">
        <f>'800V Set-points'!B19</f>
        <v>257.50400000000002</v>
      </c>
      <c r="F23" s="55">
        <f>'800V Set-points'!D19</f>
        <v>10.4</v>
      </c>
      <c r="G23" s="2">
        <f>'800V Set-points'!E19</f>
        <v>0.60699999999999998</v>
      </c>
      <c r="H23" s="12">
        <f>'800V Set-points'!F19</f>
        <v>3068</v>
      </c>
      <c r="I23" s="12">
        <f>'800V Set-points'!K19</f>
        <v>9384.5029609884696</v>
      </c>
      <c r="J23" s="12">
        <f>'800V Set-points'!G19</f>
        <v>3180</v>
      </c>
      <c r="K23" s="12">
        <f>'800V Set-points'!H19</f>
        <v>5673</v>
      </c>
      <c r="L23" s="12">
        <f>'800V Set-points'!J19</f>
        <v>20853</v>
      </c>
      <c r="M23" s="41">
        <f>'800V Set-points'!O19</f>
        <v>1.8525503969945539E-2</v>
      </c>
      <c r="N23" s="12">
        <f>'800V Set-points'!R19</f>
        <v>32</v>
      </c>
      <c r="O23" s="12">
        <f>'800V Set-points'!S19</f>
        <v>8047</v>
      </c>
      <c r="P23" s="41">
        <f>'800V Set-points'!T19</f>
        <v>0.32500000000000001</v>
      </c>
      <c r="Q23" s="2">
        <f>'800V Set-points'!W19</f>
        <v>0.17473844562969632</v>
      </c>
      <c r="R23" s="12">
        <f>'800V Set-points'!X19</f>
        <v>53706</v>
      </c>
      <c r="S23">
        <f t="shared" si="0"/>
        <v>3.4394374474035677E-4</v>
      </c>
      <c r="T23" s="12">
        <f t="shared" si="1"/>
        <v>1546.9594591597015</v>
      </c>
      <c r="U23" s="12">
        <f t="shared" si="2"/>
        <v>10399.959459159702</v>
      </c>
      <c r="V23">
        <f t="shared" si="3"/>
        <v>1.0000038981729166E-3</v>
      </c>
      <c r="W23">
        <f t="shared" si="4"/>
        <v>-3.4566827529159712E-4</v>
      </c>
      <c r="X23">
        <f t="shared" si="5"/>
        <v>-1.143177317708966E-8</v>
      </c>
      <c r="Y23">
        <f t="shared" si="12"/>
        <v>-3.3237463727529423E-8</v>
      </c>
      <c r="Z23" s="12">
        <f t="shared" si="6"/>
        <v>82823.154031707352</v>
      </c>
      <c r="AA23" s="55">
        <f t="shared" si="13"/>
        <v>0.95860131981142771</v>
      </c>
      <c r="AB23" s="12">
        <f>ABS((1/Y23)*(1-EXP((Y23*'Mission Params'!$B$13)/V23)))</f>
        <v>4476701.6998020895</v>
      </c>
      <c r="AC23">
        <f t="shared" si="14"/>
        <v>51.813677081042705</v>
      </c>
      <c r="AD23" t="str">
        <f t="shared" si="7"/>
        <v>32 HET 8047W</v>
      </c>
      <c r="AE23">
        <f t="shared" si="8"/>
        <v>12000</v>
      </c>
      <c r="AF23" s="55">
        <f t="shared" si="15"/>
        <v>52.772278400854134</v>
      </c>
      <c r="AG23" s="55">
        <f t="shared" si="9"/>
        <v>5.466340354732167</v>
      </c>
      <c r="AH23" s="59">
        <f t="shared" si="10"/>
        <v>450</v>
      </c>
      <c r="AI23" s="65">
        <f t="shared" si="11"/>
        <v>-6.3135252177146994E-2</v>
      </c>
      <c r="AJ23" s="59">
        <v>-2000</v>
      </c>
      <c r="AK23" s="64">
        <f>$AH23-'Cost of Sales'!H$15-(I23*Launch_Cost)</f>
        <v>176.03358309555188</v>
      </c>
      <c r="AL23" s="64">
        <f>$AH23-'Cost of Sales'!I$15-(J23*Launch_Cost)</f>
        <v>178.4891046202508</v>
      </c>
      <c r="AM23" s="64">
        <f>$AH23-'Cost of Sales'!J$15-(K23*Launch_Cost)</f>
        <v>166.39788434193042</v>
      </c>
      <c r="AN23" s="64">
        <f>$AH23-'Cost of Sales'!K$15-(L23*Launch_Cost)</f>
        <v>133.18715551168674</v>
      </c>
      <c r="AO23" s="64">
        <f>$AH23-'Cost of Sales'!L$15-(D23*Launch_Cost)</f>
        <v>109.267631291398</v>
      </c>
      <c r="AP23" s="64">
        <f>$AH23-'Cost of Sales'!M$15-(M23*Launch_Cost)</f>
        <v>150.30246273880741</v>
      </c>
      <c r="AQ23" s="64">
        <f>$AH23-'Cost of Sales'!N$15-(N23*Launch_Cost)</f>
        <v>141.25890344751167</v>
      </c>
      <c r="AR23" s="64">
        <f>$AH23-'Cost of Sales'!O$15-(O23*Launch_Cost)</f>
        <v>118.80741976723793</v>
      </c>
      <c r="AS23" s="64">
        <f>$AH23-'Cost of Sales'!P$15-(P23*Launch_Cost)</f>
        <v>122.51190764238675</v>
      </c>
      <c r="AT23" s="64">
        <f>$AH23-'Cost of Sales'!Q$15-(Q23*Launch_Cost)</f>
        <v>112.68752821355818</v>
      </c>
    </row>
    <row r="24" spans="1:46" x14ac:dyDescent="0.25">
      <c r="A24" t="s">
        <v>41</v>
      </c>
      <c r="B24" s="54">
        <v>600</v>
      </c>
      <c r="C24" s="12">
        <f>'600V Set-points'!I32</f>
        <v>12000</v>
      </c>
      <c r="D24" s="12">
        <f>'600V Set-points'!L32</f>
        <v>36519.175884231612</v>
      </c>
      <c r="E24" s="12">
        <f>'600V Set-points'!B32</f>
        <v>290.81600000000003</v>
      </c>
      <c r="F24" s="55">
        <f>'600V Set-points'!D32</f>
        <v>12.672000000000001</v>
      </c>
      <c r="G24" s="2">
        <f>'600V Set-points'!E32</f>
        <v>0.58399999999999996</v>
      </c>
      <c r="H24" s="12">
        <f>'600V Set-points'!F32</f>
        <v>2696</v>
      </c>
      <c r="I24" s="12">
        <f>'600V Set-points'!K32</f>
        <v>12197.500147915085</v>
      </c>
      <c r="J24" s="12">
        <f>'600V Set-points'!G32</f>
        <v>5119.7599999999993</v>
      </c>
      <c r="K24" s="12">
        <f>'600V Set-points'!H32</f>
        <v>7201.9157363165268</v>
      </c>
      <c r="L24" s="12">
        <f>'600V Set-points'!J32</f>
        <v>24321.675736316527</v>
      </c>
      <c r="M24" s="41">
        <f>'600V Set-points'!O32</f>
        <v>-1.8375641066922382E-2</v>
      </c>
      <c r="N24" s="12">
        <f>'600V Set-points'!R32</f>
        <v>64</v>
      </c>
      <c r="O24" s="12">
        <f>'600V Set-points'!S32</f>
        <v>4544</v>
      </c>
      <c r="P24" s="41">
        <f>'600V Set-points'!T32</f>
        <v>0.19800000000000001</v>
      </c>
      <c r="Q24" s="2">
        <f>'600V Set-points'!W32</f>
        <v>0.20113499421976266</v>
      </c>
      <c r="R24" s="12">
        <f>'600V Set-points'!X32</f>
        <v>60643.351472633054</v>
      </c>
      <c r="S24">
        <f t="shared" si="0"/>
        <v>3.4699578216581731E-4</v>
      </c>
      <c r="T24" s="12">
        <f t="shared" si="1"/>
        <v>2478.3201780018144</v>
      </c>
      <c r="U24" s="12">
        <f t="shared" si="2"/>
        <v>14799.995914318341</v>
      </c>
      <c r="V24">
        <f t="shared" si="3"/>
        <v>8.5621645258296332E-4</v>
      </c>
      <c r="W24">
        <f t="shared" si="4"/>
        <v>-4.79299322487411E-4</v>
      </c>
      <c r="X24">
        <f t="shared" si="5"/>
        <v>-1.3124593063294308E-8</v>
      </c>
      <c r="Y24">
        <f t="shared" si="12"/>
        <v>-3.2385098297473862E-8</v>
      </c>
      <c r="Z24" s="12">
        <f t="shared" si="6"/>
        <v>82089.310347231512</v>
      </c>
      <c r="AA24" s="55">
        <f t="shared" si="13"/>
        <v>0.95010775864851282</v>
      </c>
      <c r="AB24" s="12">
        <f>ABS((1/Y24)*(1-EXP((Y24*'Mission Params'!$B$13)/V24)))</f>
        <v>5172348.3663573321</v>
      </c>
      <c r="AC24">
        <f t="shared" si="14"/>
        <v>59.865143129135788</v>
      </c>
      <c r="AD24" t="str">
        <f t="shared" si="7"/>
        <v>64 HET 4544W</v>
      </c>
      <c r="AE24">
        <f t="shared" si="8"/>
        <v>12000</v>
      </c>
      <c r="AF24" s="55">
        <f t="shared" si="15"/>
        <v>60.815250887784302</v>
      </c>
      <c r="AG24" s="55">
        <f t="shared" si="9"/>
        <v>4.878684434908398</v>
      </c>
      <c r="AH24" s="59">
        <f t="shared" si="10"/>
        <v>450</v>
      </c>
      <c r="AI24" s="65">
        <f t="shared" si="11"/>
        <v>-6.5096008457574017E-2</v>
      </c>
      <c r="AJ24" s="59">
        <v>-2000</v>
      </c>
      <c r="AK24" s="64">
        <f>$AH24-'Cost of Sales'!H$15-(I24*Launch_Cost)</f>
        <v>171.40404227067268</v>
      </c>
      <c r="AL24" s="64">
        <f>$AH24-'Cost of Sales'!I$15-(J24*Launch_Cost)</f>
        <v>175.29670963592477</v>
      </c>
      <c r="AM24" s="64">
        <f>$AH24-'Cost of Sales'!J$15-(K24*Launch_Cost)</f>
        <v>163.88164371006152</v>
      </c>
      <c r="AN24" s="64">
        <f>$AH24-'Cost of Sales'!K$15-(L24*Launch_Cost)</f>
        <v>127.47851989549181</v>
      </c>
      <c r="AO24" s="64">
        <f>$AH24-'Cost of Sales'!L$15-(D24*Launch_Cost)</f>
        <v>98.929454850323864</v>
      </c>
      <c r="AP24" s="64">
        <f>$AH24-'Cost of Sales'!M$15-(M24*Launch_Cost)</f>
        <v>150.30252346953199</v>
      </c>
      <c r="AQ24" s="64">
        <f>$AH24-'Cost of Sales'!N$15-(N24*Launch_Cost)</f>
        <v>141.20623887070914</v>
      </c>
      <c r="AR24" s="64">
        <f>$AH24-'Cost of Sales'!O$15-(O24*Launch_Cost)</f>
        <v>124.57254515908745</v>
      </c>
      <c r="AS24" s="64">
        <f>$AH24-'Cost of Sales'!P$15-(P24*Launch_Cost)</f>
        <v>122.51211665492593</v>
      </c>
      <c r="AT24" s="64">
        <f>$AH24-'Cost of Sales'!Q$15-(Q24*Launch_Cost)</f>
        <v>112.68748477096254</v>
      </c>
    </row>
    <row r="25" spans="1:46" x14ac:dyDescent="0.25">
      <c r="A25" t="s">
        <v>53</v>
      </c>
      <c r="B25" s="54">
        <v>800</v>
      </c>
      <c r="C25" s="12">
        <f>'800V Set-points'!I32</f>
        <v>12000</v>
      </c>
      <c r="D25" s="12">
        <f>'800V Set-points'!L32</f>
        <v>34442.245470544818</v>
      </c>
      <c r="E25" s="12">
        <f>'800V Set-points'!B32</f>
        <v>292.03199999999998</v>
      </c>
      <c r="F25" s="55">
        <f>'800V Set-points'!D32</f>
        <v>11.007999999999999</v>
      </c>
      <c r="G25" s="2">
        <f>'800V Set-points'!E32</f>
        <v>0.59199999999999997</v>
      </c>
      <c r="H25" s="12">
        <f>'800V Set-points'!F32</f>
        <v>3203</v>
      </c>
      <c r="I25" s="12">
        <f>'800V Set-points'!K32</f>
        <v>10116.24547054482</v>
      </c>
      <c r="J25" s="12">
        <f>'800V Set-points'!G32</f>
        <v>5120</v>
      </c>
      <c r="K25" s="12">
        <f>'800V Set-points'!H32</f>
        <v>7206</v>
      </c>
      <c r="L25" s="12">
        <f>'800V Set-points'!J32</f>
        <v>24326</v>
      </c>
      <c r="M25" s="41">
        <f>'800V Set-points'!O32</f>
        <v>1.2576997510995169E-3</v>
      </c>
      <c r="N25" s="12">
        <f>'800V Set-points'!R32</f>
        <v>64</v>
      </c>
      <c r="O25" s="12">
        <f>'800V Set-points'!S32</f>
        <v>4563</v>
      </c>
      <c r="P25" s="41">
        <f>'800V Set-points'!T32</f>
        <v>0.17199999999999999</v>
      </c>
      <c r="Q25" s="2">
        <f>'800V Set-points'!W32</f>
        <v>0.16679162221435107</v>
      </c>
      <c r="R25" s="12">
        <f>'800V Set-points'!X32</f>
        <v>60652</v>
      </c>
      <c r="S25">
        <f t="shared" si="0"/>
        <v>3.1960750089346225E-4</v>
      </c>
      <c r="T25" s="12">
        <f t="shared" si="1"/>
        <v>2055.8735354140913</v>
      </c>
      <c r="U25" s="12">
        <f t="shared" si="2"/>
        <v>14381.873535414092</v>
      </c>
      <c r="V25">
        <f t="shared" si="3"/>
        <v>7.6540792636604492E-4</v>
      </c>
      <c r="W25">
        <f t="shared" si="4"/>
        <v>-3.5045561362813637E-4</v>
      </c>
      <c r="X25">
        <f t="shared" si="5"/>
        <v>-1.0175167409681456E-8</v>
      </c>
      <c r="Y25">
        <f t="shared" si="12"/>
        <v>-2.4367869232417488E-8</v>
      </c>
      <c r="Z25" s="12">
        <f t="shared" si="6"/>
        <v>89131.432312309393</v>
      </c>
      <c r="AA25" s="55">
        <f t="shared" si="13"/>
        <v>1.0316137999109884</v>
      </c>
      <c r="AB25" s="12">
        <f>ABS((1/Y25)*(1-EXP((Y25*'Mission Params'!$B$13)/V25)))</f>
        <v>5868168.9114932409</v>
      </c>
      <c r="AC25">
        <f t="shared" si="14"/>
        <v>67.918621660801392</v>
      </c>
      <c r="AD25" t="str">
        <f t="shared" si="7"/>
        <v>64 HET 4563W</v>
      </c>
      <c r="AE25">
        <f t="shared" si="8"/>
        <v>12000</v>
      </c>
      <c r="AF25" s="55">
        <f t="shared" si="15"/>
        <v>68.950235460712378</v>
      </c>
      <c r="AG25" s="55">
        <f t="shared" si="9"/>
        <v>4.40022861867432</v>
      </c>
      <c r="AH25" s="59">
        <f t="shared" si="10"/>
        <v>450</v>
      </c>
      <c r="AI25" s="65">
        <f t="shared" si="11"/>
        <v>-6.4409544098994798E-2</v>
      </c>
      <c r="AJ25" s="59">
        <v>-2000</v>
      </c>
      <c r="AK25" s="64">
        <f>$AH25-'Cost of Sales'!H$15-(I25*Launch_Cost)</f>
        <v>174.82930467073345</v>
      </c>
      <c r="AL25" s="64">
        <f>$AH25-'Cost of Sales'!I$15-(J25*Launch_Cost)</f>
        <v>175.29631465159875</v>
      </c>
      <c r="AM25" s="64">
        <f>$AH25-'Cost of Sales'!J$15-(K25*Launch_Cost)</f>
        <v>163.87492195948528</v>
      </c>
      <c r="AN25" s="64">
        <f>$AH25-'Cost of Sales'!K$15-(L25*Launch_Cost)</f>
        <v>127.47140316058955</v>
      </c>
      <c r="AO25" s="64">
        <f>$AH25-'Cost of Sales'!L$15-(D25*Launch_Cost)</f>
        <v>102.34760051548238</v>
      </c>
      <c r="AP25" s="64">
        <f>$AH25-'Cost of Sales'!M$15-(M25*Launch_Cost)</f>
        <v>150.30249115760745</v>
      </c>
      <c r="AQ25" s="64">
        <f>$AH25-'Cost of Sales'!N$15-(N25*Launch_Cost)</f>
        <v>141.20623887070914</v>
      </c>
      <c r="AR25" s="64">
        <f>$AH25-'Cost of Sales'!O$15-(O25*Launch_Cost)</f>
        <v>124.54127556661096</v>
      </c>
      <c r="AS25" s="64">
        <f>$AH25-'Cost of Sales'!P$15-(P25*Launch_Cost)</f>
        <v>122.51215944489458</v>
      </c>
      <c r="AT25" s="64">
        <f>$AH25-'Cost of Sales'!Q$15-(Q25*Launch_Cost)</f>
        <v>112.68754129218605</v>
      </c>
    </row>
    <row r="26" spans="1:46" x14ac:dyDescent="0.25">
      <c r="A26" t="s">
        <v>44</v>
      </c>
      <c r="B26" s="54">
        <v>600</v>
      </c>
      <c r="C26" s="12">
        <f>'600V Set-points'!I25</f>
        <v>12000</v>
      </c>
      <c r="D26" s="12">
        <f>'600V Set-points'!L25</f>
        <v>35629.995556137663</v>
      </c>
      <c r="E26" s="12">
        <f>'600V Set-points'!B25</f>
        <v>303.69600000000003</v>
      </c>
      <c r="F26" s="55">
        <f>'600V Set-points'!D25</f>
        <v>14.16</v>
      </c>
      <c r="G26" s="2">
        <f>'600V Set-points'!E25</f>
        <v>0.60599999999999998</v>
      </c>
      <c r="H26" s="12">
        <f>'600V Set-points'!F25</f>
        <v>2583</v>
      </c>
      <c r="I26" s="12">
        <f>'600V Set-points'!K25</f>
        <v>12346.249119541026</v>
      </c>
      <c r="J26" s="12">
        <f>'600V Set-points'!G25</f>
        <v>4167.3599999999997</v>
      </c>
      <c r="K26" s="12">
        <f>'600V Set-points'!H25</f>
        <v>7116.3864365966383</v>
      </c>
      <c r="L26" s="12">
        <f>'600V Set-points'!J25</f>
        <v>23283.746436596637</v>
      </c>
      <c r="M26" s="41">
        <f>'600V Set-points'!O25</f>
        <v>-1.9796513903971386E-2</v>
      </c>
      <c r="N26" s="12">
        <f>'600V Set-points'!R25</f>
        <v>48</v>
      </c>
      <c r="O26" s="12">
        <f>'600V Set-points'!S25</f>
        <v>6327</v>
      </c>
      <c r="P26" s="41">
        <f>'600V Set-points'!T25</f>
        <v>0.29499999999999998</v>
      </c>
      <c r="Q26" s="2">
        <f>'600V Set-points'!W25</f>
        <v>0.21080378404232469</v>
      </c>
      <c r="R26" s="12">
        <f>'600V Set-points'!X25</f>
        <v>58567.492873193274</v>
      </c>
      <c r="S26">
        <f t="shared" si="0"/>
        <v>3.9741795582572793E-4</v>
      </c>
      <c r="T26" s="12">
        <f t="shared" si="1"/>
        <v>2378.6564470086682</v>
      </c>
      <c r="U26" s="12">
        <f t="shared" si="2"/>
        <v>13662.402883605306</v>
      </c>
      <c r="V26">
        <f t="shared" si="3"/>
        <v>1.0364209078471698E-3</v>
      </c>
      <c r="W26">
        <f t="shared" si="4"/>
        <v>-5.5901104124973268E-4</v>
      </c>
      <c r="X26">
        <f t="shared" si="5"/>
        <v>-1.5689337944737318E-8</v>
      </c>
      <c r="Y26">
        <f t="shared" si="12"/>
        <v>-4.0916012066994322E-8</v>
      </c>
      <c r="Z26" s="12">
        <f t="shared" si="6"/>
        <v>71672.586800983569</v>
      </c>
      <c r="AA26" s="55">
        <f t="shared" si="13"/>
        <v>0.82954382871508758</v>
      </c>
      <c r="AB26" s="12">
        <f>ABS((1/Y26)*(1-EXP((Y26*'Mission Params'!$B$13)/V26)))</f>
        <v>4256453.9463506732</v>
      </c>
      <c r="AC26">
        <f t="shared" si="14"/>
        <v>49.264513267947606</v>
      </c>
      <c r="AD26" t="str">
        <f t="shared" si="7"/>
        <v>48 HET 6327W</v>
      </c>
      <c r="AE26">
        <f t="shared" si="8"/>
        <v>12000</v>
      </c>
      <c r="AF26" s="55">
        <f t="shared" si="15"/>
        <v>50.094057096662695</v>
      </c>
      <c r="AG26" s="55">
        <f t="shared" si="9"/>
        <v>5.6947557470036507</v>
      </c>
      <c r="AH26" s="59">
        <f t="shared" si="10"/>
        <v>450</v>
      </c>
      <c r="AI26" s="65">
        <f t="shared" si="11"/>
        <v>-6.5013760679984323E-2</v>
      </c>
      <c r="AJ26" s="59">
        <v>-2000</v>
      </c>
      <c r="AK26" s="64">
        <f>$AH26-'Cost of Sales'!H$15-(I26*Launch_Cost)</f>
        <v>171.1592359694074</v>
      </c>
      <c r="AL26" s="64">
        <f>$AH26-'Cost of Sales'!I$15-(J26*Launch_Cost)</f>
        <v>176.86413910300942</v>
      </c>
      <c r="AM26" s="64">
        <f>$AH26-'Cost of Sales'!J$15-(K26*Launch_Cost)</f>
        <v>164.02240509674786</v>
      </c>
      <c r="AN26" s="64">
        <f>$AH26-'Cost of Sales'!K$15-(L26*Launch_Cost)</f>
        <v>129.1867107492628</v>
      </c>
      <c r="AO26" s="64">
        <f>$AH26-'Cost of Sales'!L$15-(D26*Launch_Cost)</f>
        <v>100.39283940282958</v>
      </c>
      <c r="AP26" s="64">
        <f>$AH26-'Cost of Sales'!M$15-(M26*Launch_Cost)</f>
        <v>150.30252580795909</v>
      </c>
      <c r="AQ26" s="64">
        <f>$AH26-'Cost of Sales'!N$15-(N26*Launch_Cost)</f>
        <v>141.23257115911042</v>
      </c>
      <c r="AR26" s="64">
        <f>$AH26-'Cost of Sales'!O$15-(O26*Launch_Cost)</f>
        <v>121.63814077037273</v>
      </c>
      <c r="AS26" s="64">
        <f>$AH26-'Cost of Sales'!P$15-(P26*Launch_Cost)</f>
        <v>122.5119570154275</v>
      </c>
      <c r="AT26" s="64">
        <f>$AH26-'Cost of Sales'!Q$15-(Q26*Launch_Cost)</f>
        <v>112.68746885837741</v>
      </c>
    </row>
    <row r="27" spans="1:46" x14ac:dyDescent="0.25">
      <c r="A27" t="s">
        <v>77</v>
      </c>
      <c r="B27" s="54">
        <v>800</v>
      </c>
      <c r="C27" s="12">
        <f>'800V Set-points'!I25</f>
        <v>12000</v>
      </c>
      <c r="D27" s="12">
        <f>'800V Set-points'!L25</f>
        <v>33226.106557890802</v>
      </c>
      <c r="E27" s="12">
        <f>'800V Set-points'!B25</f>
        <v>304.416</v>
      </c>
      <c r="F27" s="55">
        <f>'800V Set-points'!D25</f>
        <v>11.423999999999999</v>
      </c>
      <c r="G27" s="2">
        <f>'800V Set-points'!E25</f>
        <v>0.57999999999999996</v>
      </c>
      <c r="H27" s="12">
        <f>'800V Set-points'!F25</f>
        <v>3152</v>
      </c>
      <c r="I27" s="12">
        <f>'800V Set-points'!K25</f>
        <v>9940.1065578907983</v>
      </c>
      <c r="J27" s="12">
        <f>'800V Set-points'!G25</f>
        <v>4167</v>
      </c>
      <c r="K27" s="12">
        <f>'800V Set-points'!H25</f>
        <v>7119</v>
      </c>
      <c r="L27" s="12">
        <f>'800V Set-points'!J25</f>
        <v>23286</v>
      </c>
      <c r="M27" s="41">
        <f>'800V Set-points'!O25</f>
        <v>3.2950680818994993E-3</v>
      </c>
      <c r="N27" s="12">
        <f>'800V Set-points'!R25</f>
        <v>48</v>
      </c>
      <c r="O27" s="12">
        <f>'800V Set-points'!S25</f>
        <v>6342</v>
      </c>
      <c r="P27" s="41">
        <f>'800V Set-points'!T25</f>
        <v>0.23799999999999999</v>
      </c>
      <c r="Q27" s="2">
        <f>'800V Set-points'!W25</f>
        <v>0.16970748067149488</v>
      </c>
      <c r="R27" s="12">
        <f>'800V Set-points'!X25</f>
        <v>58572</v>
      </c>
      <c r="S27">
        <f t="shared" si="0"/>
        <v>3.4382602066527525E-4</v>
      </c>
      <c r="T27" s="12">
        <f t="shared" si="1"/>
        <v>1915.3186268584911</v>
      </c>
      <c r="U27" s="12">
        <f t="shared" si="2"/>
        <v>13201.31862685849</v>
      </c>
      <c r="V27">
        <f t="shared" si="3"/>
        <v>8.6536809866534991E-4</v>
      </c>
      <c r="W27">
        <f t="shared" si="4"/>
        <v>-3.695843087546655E-4</v>
      </c>
      <c r="X27">
        <f t="shared" si="5"/>
        <v>-1.1123310765007274E-8</v>
      </c>
      <c r="Y27">
        <f t="shared" si="12"/>
        <v>-2.7996014580144654E-8</v>
      </c>
      <c r="Z27" s="12">
        <f t="shared" si="6"/>
        <v>82852.557818668836</v>
      </c>
      <c r="AA27" s="55">
        <f t="shared" si="13"/>
        <v>0.95894164141977822</v>
      </c>
      <c r="AB27" s="12">
        <f>ABS((1/Y27)*(1-EXP((Y27*'Mission Params'!$B$13)/V27)))</f>
        <v>5184018.7173513984</v>
      </c>
      <c r="AC27">
        <f t="shared" si="14"/>
        <v>60.000216636011558</v>
      </c>
      <c r="AD27" t="str">
        <f t="shared" si="7"/>
        <v>48 HET 6342W</v>
      </c>
      <c r="AE27">
        <f t="shared" si="8"/>
        <v>12000</v>
      </c>
      <c r="AF27" s="55">
        <f t="shared" si="15"/>
        <v>60.959158277431335</v>
      </c>
      <c r="AG27" s="55">
        <f t="shared" si="9"/>
        <v>4.8693182846197196</v>
      </c>
      <c r="AH27" s="59">
        <f t="shared" si="10"/>
        <v>450</v>
      </c>
      <c r="AI27" s="65">
        <f t="shared" si="11"/>
        <v>-6.4215473849663196E-2</v>
      </c>
      <c r="AJ27" s="59">
        <v>-2000</v>
      </c>
      <c r="AK27" s="64">
        <f>$AH27-'Cost of Sales'!H$15-(I27*Launch_Cost)</f>
        <v>175.11918846115151</v>
      </c>
      <c r="AL27" s="64">
        <f>$AH27-'Cost of Sales'!I$15-(J27*Launch_Cost)</f>
        <v>176.86473157949843</v>
      </c>
      <c r="AM27" s="64">
        <f>$AH27-'Cost of Sales'!J$15-(K27*Launch_Cost)</f>
        <v>164.01810377766708</v>
      </c>
      <c r="AN27" s="64">
        <f>$AH27-'Cost of Sales'!K$15-(L27*Launch_Cost)</f>
        <v>129.18300190667105</v>
      </c>
      <c r="AO27" s="64">
        <f>$AH27-'Cost of Sales'!L$15-(D27*Launch_Cost)</f>
        <v>104.34908305198194</v>
      </c>
      <c r="AP27" s="64">
        <f>$AH27-'Cost of Sales'!M$15-(M27*Launch_Cost)</f>
        <v>150.3024878045718</v>
      </c>
      <c r="AQ27" s="64">
        <f>$AH27-'Cost of Sales'!N$15-(N27*Launch_Cost)</f>
        <v>141.23257115911042</v>
      </c>
      <c r="AR27" s="64">
        <f>$AH27-'Cost of Sales'!O$15-(O27*Launch_Cost)</f>
        <v>121.61345424999655</v>
      </c>
      <c r="AS27" s="64">
        <f>$AH27-'Cost of Sales'!P$15-(P27*Launch_Cost)</f>
        <v>122.51205082420492</v>
      </c>
      <c r="AT27" s="64">
        <f>$AH27-'Cost of Sales'!Q$15-(Q27*Launch_Cost)</f>
        <v>112.68753649335945</v>
      </c>
    </row>
    <row r="28" spans="1:46" x14ac:dyDescent="0.25">
      <c r="A28" t="s">
        <v>97</v>
      </c>
      <c r="B28" s="54">
        <v>350</v>
      </c>
      <c r="C28" s="12">
        <f>'350V Set-points'!I36</f>
        <v>12000</v>
      </c>
      <c r="D28" s="12">
        <f>'350V Set-points'!L36</f>
        <v>46389.372785812368</v>
      </c>
      <c r="E28" s="12">
        <f>'350V Set-points'!B36</f>
        <v>383.93600000000004</v>
      </c>
      <c r="F28" s="55">
        <f>'350V Set-points'!D36</f>
        <v>23.36</v>
      </c>
      <c r="G28" s="2">
        <f>'350V Set-points'!E36</f>
        <v>0.56999999999999995</v>
      </c>
      <c r="H28" s="12">
        <f>'350V Set-points'!F36</f>
        <v>1977</v>
      </c>
      <c r="I28" s="12">
        <f>'350V Set-points'!K36</f>
        <v>18974.372785812368</v>
      </c>
      <c r="J28" s="12">
        <f>'350V Set-points'!G36</f>
        <v>5190</v>
      </c>
      <c r="K28" s="12">
        <f>'350V Set-points'!H36</f>
        <v>10225</v>
      </c>
      <c r="L28" s="12">
        <f>'350V Set-points'!J36</f>
        <v>27415</v>
      </c>
      <c r="M28" s="41">
        <f>'350V Set-points'!O36</f>
        <v>-1.7610794045192529E-2</v>
      </c>
      <c r="N28" s="12">
        <f>'350V Set-points'!R36</f>
        <v>64</v>
      </c>
      <c r="O28" s="12">
        <f>'350V Set-points'!S36</f>
        <v>5999</v>
      </c>
      <c r="P28" s="41">
        <f>'350V Set-points'!T36</f>
        <v>0.36499999999999999</v>
      </c>
      <c r="Q28" s="2">
        <f>'350V Set-points'!W36</f>
        <v>0.28391998781703376</v>
      </c>
      <c r="R28" s="12">
        <f>'350V Set-points'!X36</f>
        <v>66830</v>
      </c>
      <c r="S28">
        <f t="shared" si="0"/>
        <v>5.0356360944686825E-4</v>
      </c>
      <c r="T28" s="12">
        <f t="shared" si="1"/>
        <v>4376.626612199575</v>
      </c>
      <c r="U28" s="12">
        <f t="shared" si="2"/>
        <v>19791.626612199576</v>
      </c>
      <c r="V28">
        <f t="shared" si="3"/>
        <v>1.1802971255329199E-3</v>
      </c>
      <c r="W28">
        <f t="shared" si="4"/>
        <v>-1.2048908541676551E-3</v>
      </c>
      <c r="X28">
        <f t="shared" si="5"/>
        <v>-2.5973424123038725E-8</v>
      </c>
      <c r="Y28">
        <f t="shared" si="12"/>
        <v>-6.087881899636078E-8</v>
      </c>
      <c r="Z28" s="12">
        <f t="shared" si="6"/>
        <v>56555.045104226199</v>
      </c>
      <c r="AA28" s="55">
        <f t="shared" si="13"/>
        <v>0.65457228129891432</v>
      </c>
      <c r="AB28" s="12">
        <f>ABS((1/Y28)*(1-EXP((Y28*'Mission Params'!$B$13)/V28)))</f>
        <v>3633492.7896772074</v>
      </c>
      <c r="AC28">
        <f t="shared" si="14"/>
        <v>42.05431469533805</v>
      </c>
      <c r="AD28" t="str">
        <f t="shared" si="7"/>
        <v>64 HET 5999W</v>
      </c>
      <c r="AE28">
        <f t="shared" si="8"/>
        <v>12000</v>
      </c>
      <c r="AF28" s="55">
        <f t="shared" si="15"/>
        <v>42.708886976636961</v>
      </c>
      <c r="AG28" s="55">
        <f t="shared" si="9"/>
        <v>6.4363809529602198</v>
      </c>
      <c r="AH28" s="59">
        <f t="shared" si="10"/>
        <v>450</v>
      </c>
      <c r="AI28" s="65">
        <f t="shared" si="11"/>
        <v>-6.9323276379741783E-2</v>
      </c>
      <c r="AJ28" s="59">
        <v>-2000</v>
      </c>
      <c r="AK28" s="64">
        <f>$AH28-'Cost of Sales'!H$15-(I28*Launch_Cost)</f>
        <v>160.2508819731928</v>
      </c>
      <c r="AL28" s="64">
        <f>$AH28-'Cost of Sales'!I$15-(J28*Launch_Cost)</f>
        <v>175.18111088984327</v>
      </c>
      <c r="AM28" s="64">
        <f>$AH28-'Cost of Sales'!J$15-(K28*Launch_Cost)</f>
        <v>158.90634829177367</v>
      </c>
      <c r="AN28" s="64">
        <f>$AH28-'Cost of Sales'!K$15-(L28*Launch_Cost)</f>
        <v>122.38762573112245</v>
      </c>
      <c r="AO28" s="64">
        <f>$AH28-'Cost of Sales'!L$15-(D28*Launch_Cost)</f>
        <v>82.685400388474662</v>
      </c>
      <c r="AP28" s="64">
        <f>$AH28-'Cost of Sales'!M$15-(M28*Launch_Cost)</f>
        <v>150.30252221077123</v>
      </c>
      <c r="AQ28" s="64">
        <f>$AH28-'Cost of Sales'!N$15-(N28*Launch_Cost)</f>
        <v>141.20623887070914</v>
      </c>
      <c r="AR28" s="64">
        <f>$AH28-'Cost of Sales'!O$15-(O28*Launch_Cost)</f>
        <v>122.17795268259843</v>
      </c>
      <c r="AS28" s="64">
        <f>$AH28-'Cost of Sales'!P$15-(P28*Launch_Cost)</f>
        <v>122.51184181166575</v>
      </c>
      <c r="AT28" s="64">
        <f>$AH28-'Cost of Sales'!Q$15-(Q28*Launch_Cost)</f>
        <v>112.68734852606713</v>
      </c>
    </row>
    <row r="29" spans="1:46" x14ac:dyDescent="0.25">
      <c r="A29" t="s">
        <v>95</v>
      </c>
      <c r="B29" s="54">
        <v>350</v>
      </c>
      <c r="C29" s="12">
        <f>'350V Set-points'!I29</f>
        <v>12000</v>
      </c>
      <c r="D29" s="12">
        <f>'350V Set-points'!L29</f>
        <v>44695.510593993306</v>
      </c>
      <c r="E29" s="12">
        <f>'350V Set-points'!B29</f>
        <v>386.88</v>
      </c>
      <c r="F29" s="55">
        <f>'350V Set-points'!D29</f>
        <v>22.32</v>
      </c>
      <c r="G29" s="2">
        <f>'350V Set-points'!E29</f>
        <v>0.56000000000000005</v>
      </c>
      <c r="H29" s="12">
        <f>'350V Set-points'!F29</f>
        <v>1979</v>
      </c>
      <c r="I29" s="12">
        <f>'350V Set-points'!K29</f>
        <v>18347.510593993306</v>
      </c>
      <c r="J29" s="12">
        <f>'350V Set-points'!G29</f>
        <v>4238</v>
      </c>
      <c r="K29" s="12">
        <f>'350V Set-points'!H29</f>
        <v>10110</v>
      </c>
      <c r="L29" s="12">
        <f>'350V Set-points'!J29</f>
        <v>26348</v>
      </c>
      <c r="M29" s="41">
        <f>'350V Set-points'!O29</f>
        <v>-1.31688924288276E-2</v>
      </c>
      <c r="N29" s="12">
        <f>'350V Set-points'!R29</f>
        <v>48</v>
      </c>
      <c r="O29" s="12">
        <f>'350V Set-points'!S29</f>
        <v>8060</v>
      </c>
      <c r="P29" s="41">
        <f>'350V Set-points'!T29</f>
        <v>0.46500000000000002</v>
      </c>
      <c r="Q29" s="2">
        <f>'350V Set-points'!W29</f>
        <v>0.28359574925796505</v>
      </c>
      <c r="R29" s="12">
        <f>'350V Set-points'!X29</f>
        <v>64696</v>
      </c>
      <c r="S29">
        <f t="shared" si="0"/>
        <v>4.9937901376161076E-4</v>
      </c>
      <c r="T29" s="12">
        <f t="shared" si="1"/>
        <v>4069.0318103532827</v>
      </c>
      <c r="U29" s="12">
        <f t="shared" si="2"/>
        <v>18417.031810353285</v>
      </c>
      <c r="V29">
        <f t="shared" si="3"/>
        <v>1.2119216728209499E-3</v>
      </c>
      <c r="W29">
        <f t="shared" si="4"/>
        <v>-1.1500849882920628E-3</v>
      </c>
      <c r="X29">
        <f t="shared" si="5"/>
        <v>-2.5731554981869351E-8</v>
      </c>
      <c r="Y29">
        <f t="shared" si="12"/>
        <v>-6.2446815541988319E-8</v>
      </c>
      <c r="Z29" s="12">
        <f t="shared" si="6"/>
        <v>57028.996032027455</v>
      </c>
      <c r="AA29" s="55">
        <f t="shared" si="13"/>
        <v>0.66005782444476224</v>
      </c>
      <c r="AB29" s="12">
        <f>ABS((1/Y29)*(1-EXP((Y29*'Mission Params'!$B$13)/V29)))</f>
        <v>3539106.9051385913</v>
      </c>
      <c r="AC29">
        <f t="shared" si="14"/>
        <v>40.961885476141106</v>
      </c>
      <c r="AD29" t="str">
        <f t="shared" si="7"/>
        <v>48 HET 8060W</v>
      </c>
      <c r="AE29">
        <f t="shared" si="8"/>
        <v>12000</v>
      </c>
      <c r="AF29" s="55">
        <f t="shared" si="15"/>
        <v>41.621943300585869</v>
      </c>
      <c r="AG29" s="55">
        <f t="shared" si="9"/>
        <v>6.5621583558759884</v>
      </c>
      <c r="AH29" s="59">
        <f t="shared" si="10"/>
        <v>450</v>
      </c>
      <c r="AI29" s="65">
        <f t="shared" si="11"/>
        <v>-6.9041322547162887E-2</v>
      </c>
      <c r="AJ29" s="59">
        <v>-2000</v>
      </c>
      <c r="AK29" s="64">
        <f>$AH29-'Cost of Sales'!H$15-(I29*Launch_Cost)</f>
        <v>161.28255172461917</v>
      </c>
      <c r="AL29" s="64">
        <f>$AH29-'Cost of Sales'!I$15-(J29*Launch_Cost)</f>
        <v>176.74788204971787</v>
      </c>
      <c r="AM29" s="64">
        <f>$AH29-'Cost of Sales'!J$15-(K29*Launch_Cost)</f>
        <v>159.09561161465768</v>
      </c>
      <c r="AN29" s="64">
        <f>$AH29-'Cost of Sales'!K$15-(L29*Launch_Cost)</f>
        <v>124.14366021388108</v>
      </c>
      <c r="AO29" s="64">
        <f>$AH29-'Cost of Sales'!L$15-(D29*Launch_Cost)</f>
        <v>85.473104622659633</v>
      </c>
      <c r="AP29" s="64">
        <f>$AH29-'Cost of Sales'!M$15-(M29*Launch_Cost)</f>
        <v>150.30251490043159</v>
      </c>
      <c r="AQ29" s="64">
        <f>$AH29-'Cost of Sales'!N$15-(N29*Launch_Cost)</f>
        <v>141.23257115911042</v>
      </c>
      <c r="AR29" s="64">
        <f>$AH29-'Cost of Sales'!O$15-(O29*Launch_Cost)</f>
        <v>118.78602478291191</v>
      </c>
      <c r="AS29" s="64">
        <f>$AH29-'Cost of Sales'!P$15-(P29*Launch_Cost)</f>
        <v>122.51167723486323</v>
      </c>
      <c r="AT29" s="64">
        <f>$AH29-'Cost of Sales'!Q$15-(Q29*Launch_Cost)</f>
        <v>112.68734905968857</v>
      </c>
    </row>
    <row r="30" spans="1:46" x14ac:dyDescent="0.25">
      <c r="A30" t="s">
        <v>48</v>
      </c>
      <c r="B30" s="54">
        <v>600</v>
      </c>
      <c r="C30" s="12">
        <f>'600V Set-points'!I29</f>
        <v>12000</v>
      </c>
      <c r="D30" s="12">
        <f>'600V Set-points'!L29</f>
        <v>39679.538186564401</v>
      </c>
      <c r="E30" s="12">
        <f>'600V Set-points'!B29</f>
        <v>386.78399999999999</v>
      </c>
      <c r="F30" s="55">
        <f>'600V Set-points'!D29</f>
        <v>18.096</v>
      </c>
      <c r="G30" s="2">
        <f>'600V Set-points'!E29</f>
        <v>0.60599999999999998</v>
      </c>
      <c r="H30" s="12">
        <f>'600V Set-points'!F29</f>
        <v>2637</v>
      </c>
      <c r="I30" s="12">
        <f>'600V Set-points'!K29</f>
        <v>13331.808602673642</v>
      </c>
      <c r="J30" s="12">
        <f>'600V Set-points'!G29</f>
        <v>4237.8599999999997</v>
      </c>
      <c r="K30" s="12">
        <f>'600V Set-points'!H29</f>
        <v>10109.869583890755</v>
      </c>
      <c r="L30" s="12">
        <f>'600V Set-points'!J29</f>
        <v>26347.729583890756</v>
      </c>
      <c r="M30" s="41">
        <f>'600V Set-points'!O29</f>
        <v>2.4653144933719368E-2</v>
      </c>
      <c r="N30" s="12">
        <f>'600V Set-points'!R29</f>
        <v>48</v>
      </c>
      <c r="O30" s="12">
        <f>'600V Set-points'!S29</f>
        <v>8058</v>
      </c>
      <c r="P30" s="41">
        <f>'600V Set-points'!T29</f>
        <v>0.377</v>
      </c>
      <c r="Q30" s="2">
        <f>'600V Set-points'!W29</f>
        <v>0.2060702369867855</v>
      </c>
      <c r="R30" s="12">
        <f>'600V Set-points'!X29</f>
        <v>64695.459167781511</v>
      </c>
      <c r="S30">
        <f t="shared" si="0"/>
        <v>4.560536948519062E-4</v>
      </c>
      <c r="T30" s="12">
        <f t="shared" si="1"/>
        <v>2956.6400355746814</v>
      </c>
      <c r="U30" s="12">
        <f t="shared" si="2"/>
        <v>17304.369619465437</v>
      </c>
      <c r="V30">
        <f t="shared" si="3"/>
        <v>1.0457474266871917E-3</v>
      </c>
      <c r="W30">
        <f t="shared" si="4"/>
        <v>-6.9976786778712125E-4</v>
      </c>
      <c r="X30">
        <f t="shared" si="5"/>
        <v>-1.7635484175671795E-8</v>
      </c>
      <c r="Y30">
        <f t="shared" si="12"/>
        <v>-4.0438795701633793E-8</v>
      </c>
      <c r="Z30" s="12">
        <f t="shared" si="6"/>
        <v>62458.217827118104</v>
      </c>
      <c r="AA30" s="55">
        <f t="shared" si="13"/>
        <v>0.7228960396657188</v>
      </c>
      <c r="AB30" s="12">
        <f>ABS((1/Y30)*(1-EXP((Y30*'Mission Params'!$B$13)/V30)))</f>
        <v>4226504.5136015797</v>
      </c>
      <c r="AC30">
        <f t="shared" si="14"/>
        <v>48.917876314833102</v>
      </c>
      <c r="AD30" t="str">
        <f t="shared" si="7"/>
        <v>48 HET 8058W</v>
      </c>
      <c r="AE30">
        <f t="shared" si="8"/>
        <v>12000</v>
      </c>
      <c r="AF30" s="55">
        <f t="shared" si="15"/>
        <v>49.640772354498822</v>
      </c>
      <c r="AG30" s="55">
        <f t="shared" si="9"/>
        <v>5.7353169437799547</v>
      </c>
      <c r="AH30" s="59">
        <f t="shared" si="10"/>
        <v>450</v>
      </c>
      <c r="AI30" s="65">
        <f t="shared" si="11"/>
        <v>-6.7371927734713677E-2</v>
      </c>
      <c r="AJ30" s="59">
        <v>-2000</v>
      </c>
      <c r="AK30" s="64">
        <f>$AH30-'Cost of Sales'!H$15-(I30*Launch_Cost)</f>
        <v>169.53723368525499</v>
      </c>
      <c r="AL30" s="64">
        <f>$AH30-'Cost of Sales'!I$15-(J30*Launch_Cost)</f>
        <v>176.74811245724138</v>
      </c>
      <c r="AM30" s="64">
        <f>$AH30-'Cost of Sales'!J$15-(K30*Launch_Cost)</f>
        <v>159.09582624932023</v>
      </c>
      <c r="AN30" s="64">
        <f>$AH30-'Cost of Sales'!K$15-(L30*Launch_Cost)</f>
        <v>124.14410525606715</v>
      </c>
      <c r="AO30" s="64">
        <f>$AH30-'Cost of Sales'!L$15-(D30*Launch_Cost)</f>
        <v>93.728231625481499</v>
      </c>
      <c r="AP30" s="64">
        <f>$AH30-'Cost of Sales'!M$15-(M30*Launch_Cost)</f>
        <v>150.30245265413186</v>
      </c>
      <c r="AQ30" s="64">
        <f>$AH30-'Cost of Sales'!N$15-(N30*Launch_Cost)</f>
        <v>141.23257115911042</v>
      </c>
      <c r="AR30" s="64">
        <f>$AH30-'Cost of Sales'!O$15-(O30*Launch_Cost)</f>
        <v>118.78931631896207</v>
      </c>
      <c r="AS30" s="64">
        <f>$AH30-'Cost of Sales'!P$15-(P30*Launch_Cost)</f>
        <v>122.51182206244944</v>
      </c>
      <c r="AT30" s="64">
        <f>$AH30-'Cost of Sales'!Q$15-(Q30*Launch_Cost)</f>
        <v>112.6874766486978</v>
      </c>
    </row>
    <row r="31" spans="1:46" x14ac:dyDescent="0.25">
      <c r="A31" s="6" t="s">
        <v>37</v>
      </c>
      <c r="B31" s="57">
        <v>400</v>
      </c>
      <c r="C31" s="11">
        <f>'400V Set-points'!I29</f>
        <v>12000</v>
      </c>
      <c r="D31" s="11">
        <f>'400V Set-points'!L29</f>
        <v>42499.565301741881</v>
      </c>
      <c r="E31" s="11">
        <f>'400V Set-points'!B29</f>
        <v>386.928</v>
      </c>
      <c r="F31" s="58">
        <f>'400V Set-points'!D29</f>
        <v>21.552</v>
      </c>
      <c r="G31" s="56">
        <f>'400V Set-points'!E29</f>
        <v>0.60599999999999998</v>
      </c>
      <c r="H31" s="11">
        <f>'400V Set-points'!F29</f>
        <v>2217</v>
      </c>
      <c r="I31" s="11">
        <f>'400V Set-points'!K29</f>
        <v>16151.407953145237</v>
      </c>
      <c r="J31" s="11">
        <f>'400V Set-points'!G29</f>
        <v>4237.8599999999997</v>
      </c>
      <c r="K31" s="11">
        <f>'400V Set-points'!H29</f>
        <v>10110.297348596639</v>
      </c>
      <c r="L31" s="11">
        <f>'400V Set-points'!J29</f>
        <v>26348.15734859664</v>
      </c>
      <c r="M31" s="21">
        <f>'400V Set-points'!O29</f>
        <v>1.845596951673828E-3</v>
      </c>
      <c r="N31" s="11">
        <f>'400V Set-points'!R29</f>
        <v>48</v>
      </c>
      <c r="O31" s="11">
        <f>'400V Set-points'!S29</f>
        <v>8061</v>
      </c>
      <c r="P31" s="21">
        <f>'400V Set-points'!T29</f>
        <v>0.44900000000000001</v>
      </c>
      <c r="Q31" s="56">
        <f>'400V Set-points'!W29</f>
        <v>0.24964958249539881</v>
      </c>
      <c r="R31" s="11">
        <f>'400V Set-points'!X29</f>
        <v>64696.31469719328</v>
      </c>
      <c r="S31">
        <f t="shared" si="0"/>
        <v>5.071110691834929E-4</v>
      </c>
      <c r="T31" s="12">
        <f t="shared" si="1"/>
        <v>3582.0114916554398</v>
      </c>
      <c r="U31" s="12">
        <f t="shared" si="2"/>
        <v>17930.168840252081</v>
      </c>
      <c r="V31">
        <f t="shared" si="3"/>
        <v>1.2019964893814686E-3</v>
      </c>
      <c r="W31">
        <f t="shared" si="4"/>
        <v>-9.9129616029766708E-4</v>
      </c>
      <c r="X31">
        <f t="shared" si="5"/>
        <v>-2.3324854107555729E-8</v>
      </c>
      <c r="Y31">
        <f t="shared" si="12"/>
        <v>-5.5286493347026974E-8</v>
      </c>
      <c r="Z31" s="12">
        <f t="shared" si="6"/>
        <v>56163.885875200562</v>
      </c>
      <c r="AA31" s="55">
        <f t="shared" si="13"/>
        <v>0.65004497540741391</v>
      </c>
      <c r="AB31" s="12">
        <f>ABS((1/Y31)*(1-EXP((Y31*'Mission Params'!$B$13)/V31)))</f>
        <v>3614580.8321131789</v>
      </c>
      <c r="AC31">
        <f t="shared" si="14"/>
        <v>41.83542629760624</v>
      </c>
      <c r="AD31" t="str">
        <f t="shared" si="7"/>
        <v>48 HET 8061W</v>
      </c>
      <c r="AE31">
        <f t="shared" si="8"/>
        <v>12000</v>
      </c>
      <c r="AF31" s="55">
        <f t="shared" si="15"/>
        <v>42.485471273013651</v>
      </c>
      <c r="AG31" s="55">
        <f t="shared" si="9"/>
        <v>6.4618386245877248</v>
      </c>
      <c r="AH31" s="59">
        <f t="shared" si="10"/>
        <v>450</v>
      </c>
      <c r="AI31" s="65">
        <f t="shared" si="11"/>
        <v>-6.8311589711907983E-2</v>
      </c>
      <c r="AJ31" s="59">
        <v>-2000</v>
      </c>
      <c r="AK31" s="64">
        <f>$AH31-'Cost of Sales'!H$15-(I31*Launch_Cost)</f>
        <v>164.89682723071709</v>
      </c>
      <c r="AL31" s="64">
        <f>$AH31-'Cost of Sales'!I$15-(J31*Launch_Cost)</f>
        <v>176.74811245724138</v>
      </c>
      <c r="AM31" s="64">
        <f>$AH31-'Cost of Sales'!J$15-(K31*Launch_Cost)</f>
        <v>159.09512224784504</v>
      </c>
      <c r="AN31" s="64">
        <f>$AH31-'Cost of Sales'!K$15-(L31*Launch_Cost)</f>
        <v>124.14340125459194</v>
      </c>
      <c r="AO31" s="64">
        <f>$AH31-'Cost of Sales'!L$15-(D31*Launch_Cost)</f>
        <v>89.087121169468404</v>
      </c>
      <c r="AP31" s="64">
        <f>$AH31-'Cost of Sales'!M$15-(M31*Launch_Cost)</f>
        <v>150.30249019006504</v>
      </c>
      <c r="AQ31" s="64">
        <f>$AH31-'Cost of Sales'!N$15-(N31*Launch_Cost)</f>
        <v>141.23257115911042</v>
      </c>
      <c r="AR31" s="64">
        <f>$AH31-'Cost of Sales'!O$15-(O31*Launch_Cost)</f>
        <v>118.78437901488682</v>
      </c>
      <c r="AS31" s="64">
        <f>$AH31-'Cost of Sales'!P$15-(P31*Launch_Cost)</f>
        <v>122.51170356715163</v>
      </c>
      <c r="AT31" s="64">
        <f>$AH31-'Cost of Sales'!Q$15-(Q31*Launch_Cost)</f>
        <v>112.68740492720441</v>
      </c>
    </row>
    <row r="32" spans="1:46" x14ac:dyDescent="0.25">
      <c r="A32" s="6" t="s">
        <v>28</v>
      </c>
      <c r="B32" s="57">
        <v>400</v>
      </c>
      <c r="C32" s="11">
        <f>'400V Set-points'!I36</f>
        <v>12000</v>
      </c>
      <c r="D32" s="11">
        <f>'400V Set-points'!L36</f>
        <v>45819.146086419656</v>
      </c>
      <c r="E32" s="11">
        <f>'400V Set-points'!B36</f>
        <v>402.88</v>
      </c>
      <c r="F32" s="58">
        <f>'400V Set-points'!D36</f>
        <v>22.975999999999999</v>
      </c>
      <c r="G32" s="56">
        <f>'400V Set-points'!E36</f>
        <v>0.60599999999999998</v>
      </c>
      <c r="H32" s="11">
        <f>'400V Set-points'!F36</f>
        <v>2165</v>
      </c>
      <c r="I32" s="11">
        <f>'400V Set-points'!K36</f>
        <v>17563.386086419658</v>
      </c>
      <c r="J32" s="11">
        <f>'400V Set-points'!G36</f>
        <v>5207.8900000000003</v>
      </c>
      <c r="K32" s="11">
        <f>'400V Set-points'!H36</f>
        <v>11047.87</v>
      </c>
      <c r="L32" s="11">
        <f>'400V Set-points'!J36</f>
        <v>28255.760000000002</v>
      </c>
      <c r="M32" s="21">
        <f>'400V Set-points'!O36</f>
        <v>3.8567811412077158E-3</v>
      </c>
      <c r="N32" s="11">
        <f>'400V Set-points'!R36</f>
        <v>64</v>
      </c>
      <c r="O32" s="11">
        <f>'400V Set-points'!S36</f>
        <v>6295</v>
      </c>
      <c r="P32" s="21">
        <f>'400V Set-points'!T36</f>
        <v>0.35899999999999999</v>
      </c>
      <c r="Q32" s="56">
        <f>'400V Set-points'!W36</f>
        <v>0.25635668404991829</v>
      </c>
      <c r="R32" s="11">
        <f>'400V Set-points'!X36</f>
        <v>68511.520000000004</v>
      </c>
      <c r="S32">
        <f t="shared" si="0"/>
        <v>5.0144976418078338E-4</v>
      </c>
      <c r="T32" s="12">
        <f t="shared" si="1"/>
        <v>4167.2727303113006</v>
      </c>
      <c r="U32" s="12">
        <f t="shared" si="2"/>
        <v>20423.032730311301</v>
      </c>
      <c r="V32">
        <f t="shared" si="3"/>
        <v>1.1250043175957728E-3</v>
      </c>
      <c r="W32">
        <f t="shared" si="4"/>
        <v>-1.0821764048334511E-3</v>
      </c>
      <c r="X32">
        <f t="shared" si="5"/>
        <v>-2.3618432407979718E-8</v>
      </c>
      <c r="Y32">
        <f t="shared" si="12"/>
        <v>-5.2988036552833546E-8</v>
      </c>
      <c r="Z32" s="12">
        <f t="shared" si="6"/>
        <v>56797.075166690673</v>
      </c>
      <c r="AA32" s="55">
        <f t="shared" si="13"/>
        <v>0.65737355517003093</v>
      </c>
      <c r="AB32" s="12">
        <f>ABS((1/Y32)*(1-EXP((Y32*'Mission Params'!$B$13)/V32)))</f>
        <v>3852014.2156367903</v>
      </c>
      <c r="AC32">
        <f t="shared" si="14"/>
        <v>44.583497866166553</v>
      </c>
      <c r="AD32" t="str">
        <f t="shared" si="7"/>
        <v>64 HET 6295W</v>
      </c>
      <c r="AE32">
        <f t="shared" si="8"/>
        <v>12000</v>
      </c>
      <c r="AF32" s="55">
        <f t="shared" si="15"/>
        <v>45.240871421336585</v>
      </c>
      <c r="AG32" s="55">
        <f t="shared" si="9"/>
        <v>6.1612868150440336</v>
      </c>
      <c r="AH32" s="59">
        <f t="shared" si="10"/>
        <v>450</v>
      </c>
      <c r="AI32" s="65">
        <f t="shared" si="11"/>
        <v>-6.9370258233359405E-2</v>
      </c>
      <c r="AJ32" s="59">
        <v>-2000</v>
      </c>
      <c r="AK32" s="64">
        <f>$AH32-'Cost of Sales'!H$15-(I32*Launch_Cost)</f>
        <v>162.57303876686419</v>
      </c>
      <c r="AL32" s="64">
        <f>$AH32-'Cost of Sales'!I$15-(J32*Launch_Cost)</f>
        <v>175.1516680998746</v>
      </c>
      <c r="AM32" s="64">
        <f>$AH32-'Cost of Sales'!J$15-(K32*Launch_Cost)</f>
        <v>157.55209515697743</v>
      </c>
      <c r="AN32" s="64">
        <f>$AH32-'Cost of Sales'!K$15-(L32*Launch_Cost)</f>
        <v>121.00392980635758</v>
      </c>
      <c r="AO32" s="64">
        <f>$AH32-'Cost of Sales'!L$15-(D32*Launch_Cost)</f>
        <v>83.623861257381151</v>
      </c>
      <c r="AP32" s="64">
        <f>$AH32-'Cost of Sales'!M$15-(M32*Launch_Cost)</f>
        <v>150.30248688012242</v>
      </c>
      <c r="AQ32" s="64">
        <f>$AH32-'Cost of Sales'!N$15-(N32*Launch_Cost)</f>
        <v>141.20623887070914</v>
      </c>
      <c r="AR32" s="64">
        <f>$AH32-'Cost of Sales'!O$15-(O32*Launch_Cost)</f>
        <v>121.69080534717523</v>
      </c>
      <c r="AS32" s="64">
        <f>$AH32-'Cost of Sales'!P$15-(P32*Launch_Cost)</f>
        <v>122.51185168627389</v>
      </c>
      <c r="AT32" s="64">
        <f>$AH32-'Cost of Sales'!Q$15-(Q32*Launch_Cost)</f>
        <v>112.68739388887113</v>
      </c>
    </row>
    <row r="33" spans="1:46" x14ac:dyDescent="0.25">
      <c r="A33" t="s">
        <v>45</v>
      </c>
      <c r="B33" s="54">
        <v>600</v>
      </c>
      <c r="C33" s="12">
        <f>'600V Set-points'!I36</f>
        <v>12000</v>
      </c>
      <c r="D33" s="12">
        <f>'600V Set-points'!L36</f>
        <v>37230.966355564051</v>
      </c>
      <c r="E33" s="12">
        <f>'600V Set-points'!B36</f>
        <v>404.928</v>
      </c>
      <c r="F33" s="55">
        <f>'600V Set-points'!D36</f>
        <v>18.88</v>
      </c>
      <c r="G33" s="2">
        <f>'600V Set-points'!E36</f>
        <v>0.60599999999999998</v>
      </c>
      <c r="H33" s="12">
        <f>'600V Set-points'!F36</f>
        <v>2583</v>
      </c>
      <c r="I33" s="12">
        <f>'600V Set-points'!K36</f>
        <v>12821.050619247522</v>
      </c>
      <c r="J33" s="12">
        <f>'600V Set-points'!G36</f>
        <v>5208</v>
      </c>
      <c r="K33" s="12">
        <f>'600V Set-points'!H36</f>
        <v>7201.9157363165268</v>
      </c>
      <c r="L33" s="12">
        <f>'600V Set-points'!J36</f>
        <v>24409.915736316529</v>
      </c>
      <c r="M33" s="41">
        <f>'600V Set-points'!O36</f>
        <v>-2.3709665970226751E-2</v>
      </c>
      <c r="N33" s="12">
        <f>'600V Set-points'!R36</f>
        <v>64</v>
      </c>
      <c r="O33" s="12">
        <f>'600V Set-points'!S36</f>
        <v>6327</v>
      </c>
      <c r="P33" s="41">
        <f>'600V Set-points'!T36</f>
        <v>0.29499999999999998</v>
      </c>
      <c r="Q33" s="2">
        <f>'600V Set-points'!W36</f>
        <v>0.21080378404232469</v>
      </c>
      <c r="R33" s="12">
        <f>'600V Set-points'!X36</f>
        <v>84819.831472633057</v>
      </c>
      <c r="S33">
        <f t="shared" si="0"/>
        <v>5.071047530620554E-4</v>
      </c>
      <c r="T33" s="12">
        <f t="shared" si="1"/>
        <v>2616.0571968619165</v>
      </c>
      <c r="U33" s="12">
        <f t="shared" si="2"/>
        <v>15025.972933178444</v>
      </c>
      <c r="V33">
        <f t="shared" si="3"/>
        <v>1.2564910161864849E-3</v>
      </c>
      <c r="W33">
        <f t="shared" si="4"/>
        <v>-7.4534805499964357E-4</v>
      </c>
      <c r="X33">
        <f t="shared" si="5"/>
        <v>-2.001957316609521E-8</v>
      </c>
      <c r="Y33">
        <f t="shared" si="12"/>
        <v>-4.9603979610122995E-8</v>
      </c>
      <c r="Z33" s="12">
        <f t="shared" si="6"/>
        <v>56169.800742733911</v>
      </c>
      <c r="AA33" s="55">
        <f t="shared" si="13"/>
        <v>0.65011343452238324</v>
      </c>
      <c r="AB33" s="12">
        <f>ABS((1/Y33)*(1-EXP((Y33*'Mission Params'!$B$13)/V33)))</f>
        <v>3510950.5809882316</v>
      </c>
      <c r="AC33">
        <f t="shared" si="14"/>
        <v>40.6360020947712</v>
      </c>
      <c r="AD33" t="str">
        <f t="shared" si="7"/>
        <v>64 HET 6327W</v>
      </c>
      <c r="AE33">
        <f t="shared" si="8"/>
        <v>12000</v>
      </c>
      <c r="AF33" s="55">
        <f t="shared" si="15"/>
        <v>41.286115529293582</v>
      </c>
      <c r="AG33" s="55">
        <f t="shared" si="9"/>
        <v>6.6020192684111292</v>
      </c>
      <c r="AH33" s="59">
        <f t="shared" si="10"/>
        <v>450</v>
      </c>
      <c r="AI33" s="65">
        <f t="shared" si="11"/>
        <v>-6.5762102815282941E-2</v>
      </c>
      <c r="AJ33" s="59">
        <v>-2000</v>
      </c>
      <c r="AK33" s="64">
        <f>$AH33-'Cost of Sales'!H$15-(I33*Launch_Cost)</f>
        <v>170.37782284293118</v>
      </c>
      <c r="AL33" s="64">
        <f>$AH33-'Cost of Sales'!I$15-(J33*Launch_Cost)</f>
        <v>175.15148706539185</v>
      </c>
      <c r="AM33" s="64">
        <f>$AH33-'Cost of Sales'!J$15-(K33*Launch_Cost)</f>
        <v>163.88164371006152</v>
      </c>
      <c r="AN33" s="64">
        <f>$AH33-'Cost of Sales'!K$15-(L33*Launch_Cost)</f>
        <v>127.33329732495889</v>
      </c>
      <c r="AO33" s="64">
        <f>$AH33-'Cost of Sales'!L$15-(D33*Launch_Cost)</f>
        <v>97.758012852049461</v>
      </c>
      <c r="AP33" s="64">
        <f>$AH33-'Cost of Sales'!M$15-(M33*Launch_Cost)</f>
        <v>150.30253224809962</v>
      </c>
      <c r="AQ33" s="64">
        <f>$AH33-'Cost of Sales'!N$15-(N33*Launch_Cost)</f>
        <v>141.20623887070914</v>
      </c>
      <c r="AR33" s="64">
        <f>$AH33-'Cost of Sales'!O$15-(O33*Launch_Cost)</f>
        <v>121.63814077037273</v>
      </c>
      <c r="AS33" s="64">
        <f>$AH33-'Cost of Sales'!P$15-(P33*Launch_Cost)</f>
        <v>122.5119570154275</v>
      </c>
      <c r="AT33" s="64">
        <f>$AH33-'Cost of Sales'!Q$15-(Q33*Launch_Cost)</f>
        <v>112.68746885837741</v>
      </c>
    </row>
    <row r="34" spans="1:46" x14ac:dyDescent="0.25">
      <c r="A34" t="s">
        <v>53</v>
      </c>
      <c r="B34" s="54">
        <v>800</v>
      </c>
      <c r="C34" s="12">
        <f>'800V Set-points'!I33</f>
        <v>16000</v>
      </c>
      <c r="D34" s="12">
        <f>'800V Set-points'!L33</f>
        <v>40443.744937117037</v>
      </c>
      <c r="E34" s="12">
        <f>'800V Set-points'!B33</f>
        <v>292.03199999999998</v>
      </c>
      <c r="F34" s="55">
        <f>'800V Set-points'!D33</f>
        <v>11.007999999999999</v>
      </c>
      <c r="G34" s="2">
        <f>'800V Set-points'!E33</f>
        <v>0.59199999999999997</v>
      </c>
      <c r="H34" s="12">
        <f>'800V Set-points'!F33</f>
        <v>3203</v>
      </c>
      <c r="I34" s="12">
        <f>'800V Set-points'!K33</f>
        <v>12117.744937117033</v>
      </c>
      <c r="J34" s="12">
        <f>'800V Set-points'!G33</f>
        <v>5120</v>
      </c>
      <c r="K34" s="12">
        <f>'800V Set-points'!H33</f>
        <v>7206</v>
      </c>
      <c r="L34" s="12">
        <f>'800V Set-points'!J33</f>
        <v>28326</v>
      </c>
      <c r="M34" s="41">
        <f>'800V Set-points'!O33</f>
        <v>2.1687782939889599E-2</v>
      </c>
      <c r="N34" s="12">
        <f>'800V Set-points'!R33</f>
        <v>64</v>
      </c>
      <c r="O34" s="12">
        <f>'800V Set-points'!S33</f>
        <v>4563</v>
      </c>
      <c r="P34" s="41">
        <f>'800V Set-points'!T33</f>
        <v>0.17199999999999999</v>
      </c>
      <c r="Q34" s="2">
        <f>'800V Set-points'!W33</f>
        <v>0.16679162221435107</v>
      </c>
      <c r="R34" s="12">
        <f>'800V Set-points'!X33</f>
        <v>72652</v>
      </c>
      <c r="S34">
        <f t="shared" si="0"/>
        <v>2.7218053167716092E-4</v>
      </c>
      <c r="T34" s="12">
        <f t="shared" si="1"/>
        <v>2055.8735354140913</v>
      </c>
      <c r="U34" s="12">
        <f t="shared" si="2"/>
        <v>14381.873535414092</v>
      </c>
      <c r="V34">
        <f t="shared" si="3"/>
        <v>7.6540792636604492E-4</v>
      </c>
      <c r="W34">
        <f t="shared" si="4"/>
        <v>-3.5045561362813637E-4</v>
      </c>
      <c r="X34">
        <f t="shared" si="5"/>
        <v>-8.6652611960893753E-9</v>
      </c>
      <c r="Y34">
        <f t="shared" si="12"/>
        <v>-2.4367869232417488E-8</v>
      </c>
      <c r="Z34" s="12">
        <f t="shared" si="6"/>
        <v>104662.4244462169</v>
      </c>
      <c r="AA34" s="55">
        <f t="shared" si="13"/>
        <v>1.2113706533126956</v>
      </c>
      <c r="AB34" s="12">
        <f>ABS((1/Y34)*(1-EXP((Y34*'Mission Params'!$B$13)/V34)))</f>
        <v>5868168.9114932409</v>
      </c>
      <c r="AC34">
        <f t="shared" si="14"/>
        <v>67.918621660801392</v>
      </c>
      <c r="AD34" t="str">
        <f t="shared" si="7"/>
        <v>64 HET 4563W</v>
      </c>
      <c r="AE34">
        <f t="shared" si="8"/>
        <v>16000</v>
      </c>
      <c r="AF34" s="55">
        <f t="shared" si="15"/>
        <v>69.129992314114091</v>
      </c>
      <c r="AG34" s="55">
        <f t="shared" si="9"/>
        <v>4.3907137464997588</v>
      </c>
      <c r="AH34" s="59">
        <f t="shared" si="10"/>
        <v>600</v>
      </c>
      <c r="AI34" s="65">
        <f t="shared" si="11"/>
        <v>7.4843663872971922E-2</v>
      </c>
      <c r="AJ34" s="59">
        <v>-2000</v>
      </c>
      <c r="AK34" s="64">
        <f>$AH34-'Cost of Sales'!H$15-(I34*Launch_Cost)</f>
        <v>321.53530084643751</v>
      </c>
      <c r="AL34" s="64">
        <f>$AH34-'Cost of Sales'!I$15-(J34*Launch_Cost)</f>
        <v>325.29631465159878</v>
      </c>
      <c r="AM34" s="64">
        <f>$AH34-'Cost of Sales'!J$15-(K34*Launch_Cost)</f>
        <v>313.87492195948528</v>
      </c>
      <c r="AN34" s="64">
        <f>$AH34-'Cost of Sales'!K$15-(L34*Launch_Cost)</f>
        <v>270.88833106027607</v>
      </c>
      <c r="AO34" s="64">
        <f>$AH34-'Cost of Sales'!L$15-(D34*Launch_Cost)</f>
        <v>242.47052459087291</v>
      </c>
      <c r="AP34" s="64">
        <f>$AH34-'Cost of Sales'!M$15-(M34*Launch_Cost)</f>
        <v>300.30245753442978</v>
      </c>
      <c r="AQ34" s="64">
        <f>$AH34-'Cost of Sales'!N$15-(N34*Launch_Cost)</f>
        <v>291.20623887070917</v>
      </c>
      <c r="AR34" s="64">
        <f>$AH34-'Cost of Sales'!O$15-(O34*Launch_Cost)</f>
        <v>274.54127556661098</v>
      </c>
      <c r="AS34" s="64">
        <f>$AH34-'Cost of Sales'!P$15-(P34*Launch_Cost)</f>
        <v>272.51215944489456</v>
      </c>
      <c r="AT34" s="64">
        <f>$AH34-'Cost of Sales'!Q$15-(Q34*Launch_Cost)</f>
        <v>262.68754129218604</v>
      </c>
    </row>
    <row r="35" spans="1:46" x14ac:dyDescent="0.25">
      <c r="A35" t="s">
        <v>77</v>
      </c>
      <c r="B35" s="54">
        <v>800</v>
      </c>
      <c r="C35" s="12">
        <f>'800V Set-points'!I26</f>
        <v>16000</v>
      </c>
      <c r="D35" s="12">
        <f>'800V Set-points'!L26</f>
        <v>39262.596325948733</v>
      </c>
      <c r="E35" s="12">
        <f>'800V Set-points'!B26</f>
        <v>304.416</v>
      </c>
      <c r="F35" s="55">
        <f>'800V Set-points'!D26</f>
        <v>11.423999999999999</v>
      </c>
      <c r="G35" s="2">
        <f>'800V Set-points'!E26</f>
        <v>0.57999999999999996</v>
      </c>
      <c r="H35" s="12">
        <f>'800V Set-points'!F26</f>
        <v>3152</v>
      </c>
      <c r="I35" s="12">
        <f>'800V Set-points'!K26</f>
        <v>11976.596325948736</v>
      </c>
      <c r="J35" s="12">
        <f>'800V Set-points'!G26</f>
        <v>4167</v>
      </c>
      <c r="K35" s="12">
        <f>'800V Set-points'!H26</f>
        <v>7119</v>
      </c>
      <c r="L35" s="12">
        <f>'800V Set-points'!J26</f>
        <v>27286</v>
      </c>
      <c r="M35" s="41">
        <f>'800V Set-points'!O26</f>
        <v>2.1205853310229061E-2</v>
      </c>
      <c r="N35" s="12">
        <f>'800V Set-points'!R26</f>
        <v>48</v>
      </c>
      <c r="O35" s="12">
        <f>'800V Set-points'!S26</f>
        <v>6342</v>
      </c>
      <c r="P35" s="41">
        <f>'800V Set-points'!T26</f>
        <v>0.23799999999999999</v>
      </c>
      <c r="Q35" s="2">
        <f>'800V Set-points'!W26</f>
        <v>0.16970748067149488</v>
      </c>
      <c r="R35" s="12">
        <f>'800V Set-points'!X26</f>
        <v>70572</v>
      </c>
      <c r="S35">
        <f t="shared" si="0"/>
        <v>2.9096394709001588E-4</v>
      </c>
      <c r="T35" s="12">
        <f t="shared" si="1"/>
        <v>1915.3186268584911</v>
      </c>
      <c r="U35" s="12">
        <f t="shared" si="2"/>
        <v>13201.31862685849</v>
      </c>
      <c r="V35">
        <f t="shared" si="3"/>
        <v>8.6536809866534991E-4</v>
      </c>
      <c r="W35">
        <f t="shared" si="4"/>
        <v>-3.695843087546655E-4</v>
      </c>
      <c r="X35">
        <f t="shared" si="5"/>
        <v>-9.4131398159832449E-9</v>
      </c>
      <c r="Y35">
        <f t="shared" si="12"/>
        <v>-2.7996014580144654E-8</v>
      </c>
      <c r="Z35" s="12">
        <f t="shared" si="6"/>
        <v>97905.137532106441</v>
      </c>
      <c r="AA35" s="55">
        <f t="shared" si="13"/>
        <v>1.1331613140290098</v>
      </c>
      <c r="AB35" s="12">
        <f>ABS((1/Y35)*(1-EXP((Y35*'Mission Params'!$B$13)/V35)))</f>
        <v>5184018.7173513984</v>
      </c>
      <c r="AC35">
        <f t="shared" si="14"/>
        <v>60.000216636011558</v>
      </c>
      <c r="AD35" t="str">
        <f t="shared" si="7"/>
        <v>48 HET 6342W</v>
      </c>
      <c r="AE35">
        <f t="shared" si="8"/>
        <v>16000</v>
      </c>
      <c r="AF35" s="55">
        <f t="shared" si="15"/>
        <v>61.133377950040568</v>
      </c>
      <c r="AG35" s="55">
        <f t="shared" si="9"/>
        <v>4.8580272837287346</v>
      </c>
      <c r="AH35" s="59">
        <f t="shared" si="10"/>
        <v>600</v>
      </c>
      <c r="AI35" s="65">
        <f t="shared" si="11"/>
        <v>7.5150346612298913E-2</v>
      </c>
      <c r="AJ35" s="59">
        <v>-2000</v>
      </c>
      <c r="AK35" s="64">
        <f>$AH35-'Cost of Sales'!H$15-(I35*Launch_Cost)</f>
        <v>321.76759871748249</v>
      </c>
      <c r="AL35" s="64">
        <f>$AH35-'Cost of Sales'!I$15-(J35*Launch_Cost)</f>
        <v>326.86473157949843</v>
      </c>
      <c r="AM35" s="64">
        <f>$AH35-'Cost of Sales'!J$15-(K35*Launch_Cost)</f>
        <v>314.01810377766708</v>
      </c>
      <c r="AN35" s="64">
        <f>$AH35-'Cost of Sales'!K$15-(L35*Launch_Cost)</f>
        <v>272.59992980635758</v>
      </c>
      <c r="AO35" s="64">
        <f>$AH35-'Cost of Sales'!L$15-(D35*Launch_Cost)</f>
        <v>244.41442120799945</v>
      </c>
      <c r="AP35" s="64">
        <f>$AH35-'Cost of Sales'!M$15-(M35*Launch_Cost)</f>
        <v>300.30245832757419</v>
      </c>
      <c r="AQ35" s="64">
        <f>$AH35-'Cost of Sales'!N$15-(N35*Launch_Cost)</f>
        <v>291.23257115911042</v>
      </c>
      <c r="AR35" s="64">
        <f>$AH35-'Cost of Sales'!O$15-(O35*Launch_Cost)</f>
        <v>271.61345424999655</v>
      </c>
      <c r="AS35" s="64">
        <f>$AH35-'Cost of Sales'!P$15-(P35*Launch_Cost)</f>
        <v>272.51205082420495</v>
      </c>
      <c r="AT35" s="64">
        <f>$AH35-'Cost of Sales'!Q$15-(Q35*Launch_Cost)</f>
        <v>262.68753649335946</v>
      </c>
    </row>
    <row r="36" spans="1:46" x14ac:dyDescent="0.25">
      <c r="A36" t="s">
        <v>56</v>
      </c>
      <c r="B36" s="54">
        <v>800</v>
      </c>
      <c r="C36" s="12">
        <f>'800V Set-points'!I30</f>
        <v>16000</v>
      </c>
      <c r="D36" s="12">
        <f>'800V Set-points'!L30</f>
        <v>43747.040872232668</v>
      </c>
      <c r="E36" s="12">
        <f>'800V Set-points'!B30</f>
        <v>386.25600000000003</v>
      </c>
      <c r="F36" s="55">
        <f>'800V Set-points'!D30</f>
        <v>15.600000000000001</v>
      </c>
      <c r="G36" s="2">
        <f>'800V Set-points'!E30</f>
        <v>0.60699999999999998</v>
      </c>
      <c r="H36" s="12">
        <f>'800V Set-points'!F30</f>
        <v>3068</v>
      </c>
      <c r="I36" s="12">
        <f>'800V Set-points'!K30</f>
        <v>13401.04087223267</v>
      </c>
      <c r="J36" s="12">
        <f>'800V Set-points'!G30</f>
        <v>4238</v>
      </c>
      <c r="K36" s="12">
        <f>'800V Set-points'!H30</f>
        <v>10108</v>
      </c>
      <c r="L36" s="12">
        <f>'800V Set-points'!J30</f>
        <v>30346</v>
      </c>
      <c r="M36" s="41">
        <f>'800V Set-points'!O30</f>
        <v>1.3660857129768611E-2</v>
      </c>
      <c r="N36" s="12">
        <f>'800V Set-points'!R30</f>
        <v>48</v>
      </c>
      <c r="O36" s="12">
        <f>'800V Set-points'!S30</f>
        <v>8047</v>
      </c>
      <c r="P36" s="41">
        <f>'800V Set-points'!T30</f>
        <v>0.32500000000000001</v>
      </c>
      <c r="Q36" s="2">
        <f>'800V Set-points'!W30</f>
        <v>0.17473844562969632</v>
      </c>
      <c r="R36" s="12">
        <f>'800V Set-points'!X30</f>
        <v>76692</v>
      </c>
      <c r="S36">
        <f t="shared" si="0"/>
        <v>3.5659554769798633E-4</v>
      </c>
      <c r="T36" s="12">
        <f t="shared" si="1"/>
        <v>2506.7977410036233</v>
      </c>
      <c r="U36" s="12">
        <f t="shared" si="2"/>
        <v>16852.797741003626</v>
      </c>
      <c r="V36">
        <f t="shared" si="3"/>
        <v>9.2566232857850593E-4</v>
      </c>
      <c r="W36">
        <f t="shared" si="4"/>
        <v>-5.1850241293739576E-4</v>
      </c>
      <c r="X36">
        <f t="shared" si="5"/>
        <v>-1.1852285379752443E-8</v>
      </c>
      <c r="Y36">
        <f t="shared" si="12"/>
        <v>-3.0766548136743829E-8</v>
      </c>
      <c r="Z36" s="12">
        <f t="shared" si="6"/>
        <v>79884.636621989048</v>
      </c>
      <c r="AA36" s="55">
        <f t="shared" si="13"/>
        <v>0.92459070164339174</v>
      </c>
      <c r="AB36" s="12">
        <f>ABS((1/Y36)*(1-EXP((Y36*'Mission Params'!$B$13)/V36)))</f>
        <v>4836233.486604223</v>
      </c>
      <c r="AC36">
        <f t="shared" si="14"/>
        <v>55.974924613474805</v>
      </c>
      <c r="AD36" t="str">
        <f t="shared" si="7"/>
        <v>48 HET 8047W</v>
      </c>
      <c r="AE36">
        <f t="shared" si="8"/>
        <v>16000</v>
      </c>
      <c r="AF36" s="55">
        <f t="shared" si="15"/>
        <v>56.899515315118194</v>
      </c>
      <c r="AG36" s="55">
        <f t="shared" si="9"/>
        <v>5.148131103262557</v>
      </c>
      <c r="AH36" s="59">
        <f t="shared" si="10"/>
        <v>600</v>
      </c>
      <c r="AI36" s="65">
        <f t="shared" si="11"/>
        <v>7.3247464878234192E-2</v>
      </c>
      <c r="AJ36" s="59">
        <v>-2000</v>
      </c>
      <c r="AK36" s="64">
        <f>$AH36-'Cost of Sales'!H$15-(I36*Launch_Cost)</f>
        <v>319.42329342971112</v>
      </c>
      <c r="AL36" s="64">
        <f>$AH36-'Cost of Sales'!I$15-(J36*Launch_Cost)</f>
        <v>326.74788204971787</v>
      </c>
      <c r="AM36" s="64">
        <f>$AH36-'Cost of Sales'!J$15-(K36*Launch_Cost)</f>
        <v>309.09890315070783</v>
      </c>
      <c r="AN36" s="64">
        <f>$AH36-'Cost of Sales'!K$15-(L36*Launch_Cost)</f>
        <v>267.56387964961777</v>
      </c>
      <c r="AO36" s="64">
        <f>$AH36-'Cost of Sales'!L$15-(D36*Launch_Cost)</f>
        <v>237.03406576348829</v>
      </c>
      <c r="AP36" s="64">
        <f>$AH36-'Cost of Sales'!M$15-(M36*Launch_Cost)</f>
        <v>300.30247074488761</v>
      </c>
      <c r="AQ36" s="64">
        <f>$AH36-'Cost of Sales'!N$15-(N36*Launch_Cost)</f>
        <v>291.23257115911042</v>
      </c>
      <c r="AR36" s="64">
        <f>$AH36-'Cost of Sales'!O$15-(O36*Launch_Cost)</f>
        <v>268.80741976723795</v>
      </c>
      <c r="AS36" s="64">
        <f>$AH36-'Cost of Sales'!P$15-(P36*Launch_Cost)</f>
        <v>272.51190764238675</v>
      </c>
      <c r="AT36" s="64">
        <f>$AH36-'Cost of Sales'!Q$15-(Q36*Launch_Cost)</f>
        <v>262.68752821355815</v>
      </c>
    </row>
    <row r="37" spans="1:46" x14ac:dyDescent="0.25">
      <c r="A37" t="s">
        <v>48</v>
      </c>
      <c r="B37" s="54">
        <v>600</v>
      </c>
      <c r="C37" s="12">
        <f>'600V Set-points'!I30</f>
        <v>16000</v>
      </c>
      <c r="D37" s="12">
        <f>'600V Set-points'!L30</f>
        <v>46152.381030405828</v>
      </c>
      <c r="E37" s="12">
        <f>'600V Set-points'!B30</f>
        <v>386.78399999999999</v>
      </c>
      <c r="F37" s="55">
        <f>'600V Set-points'!D30</f>
        <v>18.096</v>
      </c>
      <c r="G37" s="2">
        <f>'600V Set-points'!E30</f>
        <v>0.60599999999999998</v>
      </c>
      <c r="H37" s="12">
        <f>'600V Set-points'!F30</f>
        <v>2637</v>
      </c>
      <c r="I37" s="12">
        <f>'600V Set-points'!K30</f>
        <v>15804.651446515069</v>
      </c>
      <c r="J37" s="12">
        <f>'600V Set-points'!G30</f>
        <v>4237.8599999999997</v>
      </c>
      <c r="K37" s="12">
        <f>'600V Set-points'!H30</f>
        <v>10109.869583890755</v>
      </c>
      <c r="L37" s="12">
        <f>'600V Set-points'!J30</f>
        <v>30347.729583890756</v>
      </c>
      <c r="M37" s="41">
        <f>'600V Set-points'!O30</f>
        <v>-4.6232628025071332E-3</v>
      </c>
      <c r="N37" s="12">
        <f>'600V Set-points'!R30</f>
        <v>48</v>
      </c>
      <c r="O37" s="12">
        <f>'600V Set-points'!S30</f>
        <v>8058</v>
      </c>
      <c r="P37" s="41">
        <f>'600V Set-points'!T30</f>
        <v>0.377</v>
      </c>
      <c r="Q37" s="2">
        <f>'600V Set-points'!W30</f>
        <v>0.2060702369867855</v>
      </c>
      <c r="R37" s="12">
        <f>'600V Set-points'!X30</f>
        <v>76695.459167781519</v>
      </c>
      <c r="S37">
        <f t="shared" si="0"/>
        <v>3.9209244671641329E-4</v>
      </c>
      <c r="T37" s="12">
        <f t="shared" si="1"/>
        <v>2956.6400355746814</v>
      </c>
      <c r="U37" s="12">
        <f t="shared" si="2"/>
        <v>17304.369619465437</v>
      </c>
      <c r="V37">
        <f t="shared" si="3"/>
        <v>1.0457474266871917E-3</v>
      </c>
      <c r="W37">
        <f t="shared" si="4"/>
        <v>-6.9976786778712125E-4</v>
      </c>
      <c r="X37">
        <f t="shared" si="5"/>
        <v>-1.5162118446849027E-8</v>
      </c>
      <c r="Y37">
        <f t="shared" si="12"/>
        <v>-4.0438795701633793E-8</v>
      </c>
      <c r="Z37" s="12">
        <f t="shared" si="6"/>
        <v>72646.900628830772</v>
      </c>
      <c r="AA37" s="55">
        <f t="shared" si="13"/>
        <v>0.8408206091299858</v>
      </c>
      <c r="AB37" s="12">
        <f>ABS((1/Y37)*(1-EXP((Y37*'Mission Params'!$B$13)/V37)))</f>
        <v>4226504.5136015797</v>
      </c>
      <c r="AC37">
        <f t="shared" si="14"/>
        <v>48.917876314833102</v>
      </c>
      <c r="AD37" t="str">
        <f t="shared" si="7"/>
        <v>48 HET 8058W</v>
      </c>
      <c r="AE37">
        <f t="shared" si="8"/>
        <v>16000</v>
      </c>
      <c r="AF37" s="55">
        <f t="shared" si="15"/>
        <v>49.758696923963086</v>
      </c>
      <c r="AG37" s="55">
        <f t="shared" si="9"/>
        <v>5.7247092178701395</v>
      </c>
      <c r="AH37" s="59">
        <f t="shared" si="10"/>
        <v>600</v>
      </c>
      <c r="AI37" s="65">
        <f t="shared" si="11"/>
        <v>7.2515151851263671E-2</v>
      </c>
      <c r="AJ37" s="59">
        <v>-2000</v>
      </c>
      <c r="AK37" s="64">
        <f>$AH37-'Cost of Sales'!H$15-(I37*Launch_Cost)</f>
        <v>315.4675080018169</v>
      </c>
      <c r="AL37" s="64">
        <f>$AH37-'Cost of Sales'!I$15-(J37*Launch_Cost)</f>
        <v>326.7481124572414</v>
      </c>
      <c r="AM37" s="64">
        <f>$AH37-'Cost of Sales'!J$15-(K37*Launch_Cost)</f>
        <v>309.09582624932023</v>
      </c>
      <c r="AN37" s="64">
        <f>$AH37-'Cost of Sales'!K$15-(L37*Launch_Cost)</f>
        <v>267.56103315575365</v>
      </c>
      <c r="AO37" s="64">
        <f>$AH37-'Cost of Sales'!L$15-(D37*Launch_Cost)</f>
        <v>233.07543384172993</v>
      </c>
      <c r="AP37" s="64">
        <f>$AH37-'Cost of Sales'!M$15-(M37*Launch_Cost)</f>
        <v>300.30250083630756</v>
      </c>
      <c r="AQ37" s="64">
        <f>$AH37-'Cost of Sales'!N$15-(N37*Launch_Cost)</f>
        <v>291.23257115911042</v>
      </c>
      <c r="AR37" s="64">
        <f>$AH37-'Cost of Sales'!O$15-(O37*Launch_Cost)</f>
        <v>268.78931631896205</v>
      </c>
      <c r="AS37" s="64">
        <f>$AH37-'Cost of Sales'!P$15-(P37*Launch_Cost)</f>
        <v>272.51182206244943</v>
      </c>
      <c r="AT37" s="64">
        <f>$AH37-'Cost of Sales'!Q$15-(Q37*Launch_Cost)</f>
        <v>262.68747664869778</v>
      </c>
    </row>
    <row r="38" spans="1:46" x14ac:dyDescent="0.25">
      <c r="A38" s="6" t="s">
        <v>28</v>
      </c>
      <c r="B38" s="57">
        <v>400</v>
      </c>
      <c r="C38" s="11">
        <f>'400V Set-points'!I37</f>
        <v>16000</v>
      </c>
      <c r="D38" s="11">
        <f>'400V Set-points'!L37</f>
        <v>52895.426295018682</v>
      </c>
      <c r="E38" s="11">
        <f>'400V Set-points'!B37</f>
        <v>402.88</v>
      </c>
      <c r="F38" s="58">
        <f>'400V Set-points'!D37</f>
        <v>22.975999999999999</v>
      </c>
      <c r="G38" s="56">
        <f>'400V Set-points'!E37</f>
        <v>0.60599999999999998</v>
      </c>
      <c r="H38" s="11">
        <f>'400V Set-points'!F37</f>
        <v>2165</v>
      </c>
      <c r="I38" s="11">
        <f>'400V Set-points'!K37</f>
        <v>20639.66629501868</v>
      </c>
      <c r="J38" s="11">
        <f>'400V Set-points'!G37</f>
        <v>5207.8900000000003</v>
      </c>
      <c r="K38" s="11">
        <f>'400V Set-points'!H37</f>
        <v>11047.87</v>
      </c>
      <c r="L38" s="11">
        <f>'400V Set-points'!J37</f>
        <v>32255.760000000002</v>
      </c>
      <c r="M38" s="21">
        <f>'400V Set-points'!O37</f>
        <v>-2.306776013085679E-2</v>
      </c>
      <c r="N38" s="11">
        <f>'400V Set-points'!R37</f>
        <v>64</v>
      </c>
      <c r="O38" s="11">
        <f>'400V Set-points'!S37</f>
        <v>6295</v>
      </c>
      <c r="P38" s="21">
        <f>'400V Set-points'!T37</f>
        <v>0.35899999999999999</v>
      </c>
      <c r="Q38" s="56">
        <f>'400V Set-points'!W37</f>
        <v>0.25635668404991829</v>
      </c>
      <c r="R38" s="11">
        <f>'400V Set-points'!X37</f>
        <v>80511.520000000004</v>
      </c>
      <c r="S38">
        <f t="shared" si="0"/>
        <v>4.3436647758265099E-4</v>
      </c>
      <c r="T38" s="12">
        <f t="shared" si="1"/>
        <v>4167.2727303113006</v>
      </c>
      <c r="U38" s="12">
        <f t="shared" si="2"/>
        <v>20423.032730311301</v>
      </c>
      <c r="V38">
        <f t="shared" si="3"/>
        <v>1.1250043175957728E-3</v>
      </c>
      <c r="W38">
        <f t="shared" si="4"/>
        <v>-1.0821764048334511E-3</v>
      </c>
      <c r="X38">
        <f t="shared" si="5"/>
        <v>-2.0458789741058631E-8</v>
      </c>
      <c r="Y38">
        <f t="shared" si="12"/>
        <v>-5.2988036552833546E-8</v>
      </c>
      <c r="Z38" s="12">
        <f t="shared" si="6"/>
        <v>65568.779863026924</v>
      </c>
      <c r="AA38" s="55">
        <f t="shared" si="13"/>
        <v>0.7588979150813302</v>
      </c>
      <c r="AB38" s="12">
        <f>ABS((1/Y38)*(1-EXP((Y38*'Mission Params'!$B$13)/V38)))</f>
        <v>3852014.2156367903</v>
      </c>
      <c r="AC38">
        <f t="shared" si="14"/>
        <v>44.583497866166553</v>
      </c>
      <c r="AD38" t="str">
        <f t="shared" si="7"/>
        <v>64 HET 6295W</v>
      </c>
      <c r="AE38">
        <f t="shared" si="8"/>
        <v>16000</v>
      </c>
      <c r="AF38" s="55">
        <f t="shared" si="15"/>
        <v>45.34239578124788</v>
      </c>
      <c r="AG38" s="55">
        <f t="shared" si="9"/>
        <v>6.1507459413247947</v>
      </c>
      <c r="AH38" s="59">
        <f t="shared" si="10"/>
        <v>600</v>
      </c>
      <c r="AI38" s="65">
        <f t="shared" si="11"/>
        <v>7.042191128529196E-2</v>
      </c>
      <c r="AJ38" s="59">
        <v>-2000</v>
      </c>
      <c r="AK38" s="64">
        <f>$AH38-'Cost of Sales'!H$15-(I38*Launch_Cost)</f>
        <v>307.5101951633705</v>
      </c>
      <c r="AL38" s="64">
        <f>$AH38-'Cost of Sales'!I$15-(J38*Launch_Cost)</f>
        <v>325.1516680998746</v>
      </c>
      <c r="AM38" s="64">
        <f>$AH38-'Cost of Sales'!J$15-(K38*Launch_Cost)</f>
        <v>307.55209515697743</v>
      </c>
      <c r="AN38" s="64">
        <f>$AH38-'Cost of Sales'!K$15-(L38*Launch_Cost)</f>
        <v>264.4208577060441</v>
      </c>
      <c r="AO38" s="64">
        <f>$AH38-'Cost of Sales'!L$15-(D38*Launch_Cost)</f>
        <v>221.97794555357399</v>
      </c>
      <c r="AP38" s="64">
        <f>$AH38-'Cost of Sales'!M$15-(M38*Launch_Cost)</f>
        <v>300.30253119167151</v>
      </c>
      <c r="AQ38" s="64">
        <f>$AH38-'Cost of Sales'!N$15-(N38*Launch_Cost)</f>
        <v>291.20623887070917</v>
      </c>
      <c r="AR38" s="64">
        <f>$AH38-'Cost of Sales'!O$15-(O38*Launch_Cost)</f>
        <v>271.69080534717523</v>
      </c>
      <c r="AS38" s="64">
        <f>$AH38-'Cost of Sales'!P$15-(P38*Launch_Cost)</f>
        <v>272.51185168627387</v>
      </c>
      <c r="AT38" s="64">
        <f>$AH38-'Cost of Sales'!Q$15-(Q38*Launch_Cost)</f>
        <v>262.6873938888711</v>
      </c>
    </row>
    <row r="39" spans="1:46" x14ac:dyDescent="0.25">
      <c r="A39" t="s">
        <v>45</v>
      </c>
      <c r="B39" s="54">
        <v>600</v>
      </c>
      <c r="C39" s="12">
        <f>'600V Set-points'!I37</f>
        <v>16000</v>
      </c>
      <c r="D39" s="12">
        <f>'600V Set-points'!L37</f>
        <v>49236.532811151352</v>
      </c>
      <c r="E39" s="12">
        <f>'600V Set-points'!B37</f>
        <v>404.928</v>
      </c>
      <c r="F39" s="55">
        <f>'600V Set-points'!D37</f>
        <v>18.88</v>
      </c>
      <c r="G39" s="2">
        <f>'600V Set-points'!E37</f>
        <v>0.60599999999999998</v>
      </c>
      <c r="H39" s="12">
        <f>'600V Set-points'!F37</f>
        <v>2583</v>
      </c>
      <c r="I39" s="12">
        <f>'600V Set-points'!K37</f>
        <v>16974.695370128939</v>
      </c>
      <c r="J39" s="12">
        <f>'600V Set-points'!G37</f>
        <v>5207.8849999999993</v>
      </c>
      <c r="K39" s="12">
        <f>'600V Set-points'!H37</f>
        <v>11053.952441022409</v>
      </c>
      <c r="L39" s="12">
        <f>'600V Set-points'!J37</f>
        <v>32261.83744102241</v>
      </c>
      <c r="M39" s="41">
        <f>'600V Set-points'!O37</f>
        <v>-1.0612000177690484E-3</v>
      </c>
      <c r="N39" s="12">
        <f>'600V Set-points'!R37</f>
        <v>64</v>
      </c>
      <c r="O39" s="12">
        <f>'600V Set-points'!S37</f>
        <v>6327</v>
      </c>
      <c r="P39" s="41">
        <f>'600V Set-points'!T37</f>
        <v>0.29499999999999998</v>
      </c>
      <c r="Q39" s="2">
        <f>'600V Set-points'!W37</f>
        <v>0.21080378404232469</v>
      </c>
      <c r="R39" s="12">
        <f>'600V Set-points'!X37</f>
        <v>76523.674882044812</v>
      </c>
      <c r="S39">
        <f t="shared" si="0"/>
        <v>3.8345510786502734E-4</v>
      </c>
      <c r="T39" s="12">
        <f t="shared" si="1"/>
        <v>3428.0568680486781</v>
      </c>
      <c r="U39" s="12">
        <f t="shared" si="2"/>
        <v>19689.894309071089</v>
      </c>
      <c r="V39">
        <f t="shared" si="3"/>
        <v>9.5886751364135186E-4</v>
      </c>
      <c r="W39">
        <f t="shared" si="4"/>
        <v>-7.4534805499964357E-4</v>
      </c>
      <c r="X39">
        <f t="shared" si="5"/>
        <v>-1.5138110107355757E-8</v>
      </c>
      <c r="Y39">
        <f t="shared" si="12"/>
        <v>-3.7854345142739719E-8</v>
      </c>
      <c r="Z39" s="12">
        <f t="shared" si="6"/>
        <v>74282.418856746663</v>
      </c>
      <c r="AA39" s="55">
        <f t="shared" si="13"/>
        <v>0.85975021824938269</v>
      </c>
      <c r="AB39" s="12">
        <f>ABS((1/Y39)*(1-EXP((Y39*'Mission Params'!$B$13)/V39)))</f>
        <v>4600716.7836290579</v>
      </c>
      <c r="AC39">
        <f t="shared" si="14"/>
        <v>53.249036847558543</v>
      </c>
      <c r="AD39" t="str">
        <f t="shared" si="7"/>
        <v>64 HET 6327W</v>
      </c>
      <c r="AE39">
        <f t="shared" si="8"/>
        <v>16000</v>
      </c>
      <c r="AF39" s="55">
        <f t="shared" si="15"/>
        <v>54.108787065807924</v>
      </c>
      <c r="AG39" s="55">
        <f t="shared" si="9"/>
        <v>5.3590735604692314</v>
      </c>
      <c r="AH39" s="59">
        <f t="shared" si="10"/>
        <v>600</v>
      </c>
      <c r="AI39" s="65">
        <f t="shared" si="11"/>
        <v>7.1525536296118686E-2</v>
      </c>
      <c r="AJ39" s="59">
        <v>-2000</v>
      </c>
      <c r="AK39" s="64">
        <f>$AH39-'Cost of Sales'!H$15-(I39*Launch_Cost)</f>
        <v>313.54188712439594</v>
      </c>
      <c r="AL39" s="64">
        <f>$AH39-'Cost of Sales'!I$15-(J39*Launch_Cost)</f>
        <v>325.15167632871476</v>
      </c>
      <c r="AM39" s="64">
        <f>$AH39-'Cost of Sales'!J$15-(K39*Launch_Cost)</f>
        <v>307.5420848700283</v>
      </c>
      <c r="AN39" s="64">
        <f>$AH39-'Cost of Sales'!K$15-(L39*Launch_Cost)</f>
        <v>264.41085564793514</v>
      </c>
      <c r="AO39" s="64">
        <f>$AH39-'Cost of Sales'!L$15-(D39*Launch_Cost)</f>
        <v>227.99963545649044</v>
      </c>
      <c r="AP39" s="64">
        <f>$AH39-'Cost of Sales'!M$15-(M39*Launch_Cost)</f>
        <v>300.30249497397853</v>
      </c>
      <c r="AQ39" s="64">
        <f>$AH39-'Cost of Sales'!N$15-(N39*Launch_Cost)</f>
        <v>291.20623887070917</v>
      </c>
      <c r="AR39" s="64">
        <f>$AH39-'Cost of Sales'!O$15-(O39*Launch_Cost)</f>
        <v>271.63814077037273</v>
      </c>
      <c r="AS39" s="64">
        <f>$AH39-'Cost of Sales'!P$15-(P39*Launch_Cost)</f>
        <v>272.51195701542747</v>
      </c>
      <c r="AT39" s="64">
        <f>$AH39-'Cost of Sales'!Q$15-(Q39*Launch_Cost)</f>
        <v>262.68746885837743</v>
      </c>
    </row>
    <row r="40" spans="1:46" x14ac:dyDescent="0.25">
      <c r="A40" t="s">
        <v>60</v>
      </c>
      <c r="B40" s="54">
        <v>800</v>
      </c>
      <c r="C40" s="12">
        <f>'800V Set-points'!I37</f>
        <v>16000</v>
      </c>
      <c r="D40" s="12">
        <f>'800V Set-points'!L37</f>
        <v>45931.543418475485</v>
      </c>
      <c r="E40" s="12">
        <f>'800V Set-points'!B37</f>
        <v>405.88800000000003</v>
      </c>
      <c r="F40" s="55">
        <f>'800V Set-points'!D37</f>
        <v>15.231999999999999</v>
      </c>
      <c r="G40" s="2">
        <f>'800V Set-points'!E37</f>
        <v>0.57999999999999996</v>
      </c>
      <c r="H40" s="12">
        <f>'800V Set-points'!F37</f>
        <v>3152</v>
      </c>
      <c r="I40" s="12">
        <f>'800V Set-points'!K37</f>
        <v>13666.543418475483</v>
      </c>
      <c r="J40" s="12">
        <f>'800V Set-points'!G37</f>
        <v>5208</v>
      </c>
      <c r="K40" s="12">
        <f>'800V Set-points'!H37</f>
        <v>11057</v>
      </c>
      <c r="L40" s="12">
        <f>'800V Set-points'!J37</f>
        <v>32265</v>
      </c>
      <c r="M40" s="41">
        <f>'800V Set-points'!O37</f>
        <v>2.3372936645004977E-2</v>
      </c>
      <c r="N40" s="12">
        <f>'800V Set-points'!R37</f>
        <v>64</v>
      </c>
      <c r="O40" s="12">
        <f>'800V Set-points'!S37</f>
        <v>6342</v>
      </c>
      <c r="P40" s="41">
        <f>'800V Set-points'!T37</f>
        <v>0.23799999999999999</v>
      </c>
      <c r="Q40" s="2">
        <f>'800V Set-points'!W37</f>
        <v>0.16970748067149488</v>
      </c>
      <c r="R40" s="12">
        <f>'800V Set-points'!X37</f>
        <v>80530</v>
      </c>
      <c r="S40">
        <f t="shared" si="0"/>
        <v>3.3162395309087491E-4</v>
      </c>
      <c r="T40" s="12">
        <f t="shared" si="1"/>
        <v>2760.2921731218644</v>
      </c>
      <c r="U40" s="12">
        <f t="shared" si="2"/>
        <v>19025.292173121867</v>
      </c>
      <c r="V40">
        <f t="shared" si="3"/>
        <v>8.0061845365608255E-4</v>
      </c>
      <c r="W40">
        <f t="shared" si="4"/>
        <v>-4.9277907833955397E-4</v>
      </c>
      <c r="X40">
        <f t="shared" si="5"/>
        <v>-1.0728554750488501E-8</v>
      </c>
      <c r="Y40">
        <f t="shared" si="12"/>
        <v>-2.5901262059761244E-8</v>
      </c>
      <c r="Z40" s="12">
        <f t="shared" si="6"/>
        <v>85901.108744476864</v>
      </c>
      <c r="AA40" s="55">
        <f t="shared" si="13"/>
        <v>0.99422579565366742</v>
      </c>
      <c r="AB40" s="12">
        <f>ABS((1/Y40)*(1-EXP((Y40*'Mission Params'!$B$13)/V40)))</f>
        <v>5603273.8196252333</v>
      </c>
      <c r="AC40">
        <f t="shared" si="14"/>
        <v>64.852706245662418</v>
      </c>
      <c r="AD40" t="str">
        <f t="shared" si="7"/>
        <v>64 HET 6342W</v>
      </c>
      <c r="AE40">
        <f t="shared" si="8"/>
        <v>16000</v>
      </c>
      <c r="AF40" s="55">
        <f t="shared" si="15"/>
        <v>65.84693204131608</v>
      </c>
      <c r="AG40" s="55">
        <f t="shared" si="9"/>
        <v>4.5712463919231618</v>
      </c>
      <c r="AH40" s="59">
        <f t="shared" si="10"/>
        <v>600</v>
      </c>
      <c r="AI40" s="65">
        <f t="shared" si="11"/>
        <v>7.2526182895886304E-2</v>
      </c>
      <c r="AJ40" s="59">
        <v>-2000</v>
      </c>
      <c r="AK40" s="64">
        <f>$AH40-'Cost of Sales'!H$15-(I40*Launch_Cost)</f>
        <v>318.98633782852778</v>
      </c>
      <c r="AL40" s="64">
        <f>$AH40-'Cost of Sales'!I$15-(J40*Launch_Cost)</f>
        <v>325.15148706539185</v>
      </c>
      <c r="AM40" s="64">
        <f>$AH40-'Cost of Sales'!J$15-(K40*Launch_Cost)</f>
        <v>307.53706929490846</v>
      </c>
      <c r="AN40" s="64">
        <f>$AH40-'Cost of Sales'!K$15-(L40*Launch_Cost)</f>
        <v>264.40565080949239</v>
      </c>
      <c r="AO40" s="64">
        <f>$AH40-'Cost of Sales'!L$15-(D40*Launch_Cost)</f>
        <v>233.43888132217955</v>
      </c>
      <c r="AP40" s="64">
        <f>$AH40-'Cost of Sales'!M$15-(M40*Launch_Cost)</f>
        <v>300.30245476105773</v>
      </c>
      <c r="AQ40" s="64">
        <f>$AH40-'Cost of Sales'!N$15-(N40*Launch_Cost)</f>
        <v>291.20623887070917</v>
      </c>
      <c r="AR40" s="64">
        <f>$AH40-'Cost of Sales'!O$15-(O40*Launch_Cost)</f>
        <v>271.61345424999655</v>
      </c>
      <c r="AS40" s="64">
        <f>$AH40-'Cost of Sales'!P$15-(P40*Launch_Cost)</f>
        <v>272.51205082420495</v>
      </c>
      <c r="AT40" s="64">
        <f>$AH40-'Cost of Sales'!Q$15-(Q40*Launch_Cost)</f>
        <v>262.68753649335946</v>
      </c>
    </row>
    <row r="41" spans="1:46" x14ac:dyDescent="0.25">
      <c r="A41" t="s">
        <v>99</v>
      </c>
      <c r="B41" s="54">
        <v>350</v>
      </c>
      <c r="C41" s="12">
        <f>'350V Set-points'!I41</f>
        <v>16000</v>
      </c>
      <c r="D41" s="12">
        <f>'350V Set-points'!L41</f>
        <v>62550.259688691629</v>
      </c>
      <c r="E41" s="12">
        <f>'350V Set-points'!B41</f>
        <v>515.84</v>
      </c>
      <c r="F41" s="55">
        <f>'350V Set-points'!D41</f>
        <v>29.76</v>
      </c>
      <c r="G41" s="2">
        <f>'350V Set-points'!E41</f>
        <v>0.56000000000000005</v>
      </c>
      <c r="H41" s="12">
        <f>'350V Set-points'!F41</f>
        <v>1979</v>
      </c>
      <c r="I41" s="12">
        <f>'350V Set-points'!K41</f>
        <v>25533.259688691625</v>
      </c>
      <c r="J41" s="12">
        <f>'350V Set-points'!G41</f>
        <v>5297</v>
      </c>
      <c r="K41" s="12">
        <f>'350V Set-points'!H41</f>
        <v>15720</v>
      </c>
      <c r="L41" s="12">
        <f>'350V Set-points'!J41</f>
        <v>37017</v>
      </c>
      <c r="M41" s="41">
        <f>'350V Set-points'!O41</f>
        <v>8.3143153791195024E-3</v>
      </c>
      <c r="N41" s="12">
        <f>'350V Set-points'!R41</f>
        <v>64</v>
      </c>
      <c r="O41" s="12">
        <f>'350V Set-points'!S41</f>
        <v>8060</v>
      </c>
      <c r="P41" s="41">
        <f>'350V Set-points'!T41</f>
        <v>0.46500000000000002</v>
      </c>
      <c r="Q41" s="2">
        <f>'350V Set-points'!W41</f>
        <v>0.28359574925796505</v>
      </c>
      <c r="R41" s="12">
        <f>'350V Set-points'!X41</f>
        <v>90034</v>
      </c>
      <c r="S41">
        <f t="shared" si="0"/>
        <v>4.7577740121485489E-4</v>
      </c>
      <c r="T41" s="12">
        <f t="shared" si="1"/>
        <v>5960.3318621546514</v>
      </c>
      <c r="U41" s="12">
        <f t="shared" si="2"/>
        <v>26977.33186215465</v>
      </c>
      <c r="V41">
        <f t="shared" si="3"/>
        <v>1.1031483822071017E-3</v>
      </c>
      <c r="W41">
        <f t="shared" si="4"/>
        <v>-1.5334466510560838E-3</v>
      </c>
      <c r="X41">
        <f t="shared" si="5"/>
        <v>-2.4515432209041865E-8</v>
      </c>
      <c r="Y41">
        <f t="shared" si="12"/>
        <v>-5.684204275246696E-8</v>
      </c>
      <c r="Z41" s="12">
        <f t="shared" si="6"/>
        <v>59858.000236181659</v>
      </c>
      <c r="AA41" s="55">
        <f t="shared" si="13"/>
        <v>0.69280092865950993</v>
      </c>
      <c r="AB41" s="12">
        <f>ABS((1/Y41)*(1-EXP((Y41*'Mission Params'!$B$13)/V41)))</f>
        <v>3888072.0218130276</v>
      </c>
      <c r="AC41">
        <f t="shared" si="14"/>
        <v>45.000833585798929</v>
      </c>
      <c r="AD41" t="str">
        <f t="shared" si="7"/>
        <v>64 HET 8060W</v>
      </c>
      <c r="AE41">
        <f t="shared" si="8"/>
        <v>16000</v>
      </c>
      <c r="AF41" s="55">
        <f t="shared" si="15"/>
        <v>45.693634514458438</v>
      </c>
      <c r="AG41" s="55">
        <f t="shared" si="9"/>
        <v>6.1145548092166022</v>
      </c>
      <c r="AH41" s="59">
        <f t="shared" si="10"/>
        <v>600</v>
      </c>
      <c r="AI41" s="65">
        <f t="shared" si="11"/>
        <v>6.6751518288949985E-2</v>
      </c>
      <c r="AJ41" s="59">
        <v>-2000</v>
      </c>
      <c r="AK41" s="64">
        <f>$AH41-'Cost of Sales'!H$15-(I41*Launch_Cost)</f>
        <v>299.4564756283288</v>
      </c>
      <c r="AL41" s="64">
        <f>$AH41-'Cost of Sales'!I$15-(J41*Launch_Cost)</f>
        <v>325.0050137111599</v>
      </c>
      <c r="AM41" s="64">
        <f>$AH41-'Cost of Sales'!J$15-(K41*Launch_Cost)</f>
        <v>299.86285299396803</v>
      </c>
      <c r="AN41" s="64">
        <f>$AH41-'Cost of Sales'!K$15-(L41*Launch_Cost)</f>
        <v>256.58496115431996</v>
      </c>
      <c r="AO41" s="64">
        <f>$AH41-'Cost of Sales'!L$15-(D41*Launch_Cost)</f>
        <v>206.08832946680815</v>
      </c>
      <c r="AP41" s="64">
        <f>$AH41-'Cost of Sales'!M$15-(M41*Launch_Cost)</f>
        <v>300.30247954405507</v>
      </c>
      <c r="AQ41" s="64">
        <f>$AH41-'Cost of Sales'!N$15-(N41*Launch_Cost)</f>
        <v>291.20623887070917</v>
      </c>
      <c r="AR41" s="64">
        <f>$AH41-'Cost of Sales'!O$15-(O41*Launch_Cost)</f>
        <v>268.78602478291191</v>
      </c>
      <c r="AS41" s="64">
        <f>$AH41-'Cost of Sales'!P$15-(P41*Launch_Cost)</f>
        <v>272.51167723486321</v>
      </c>
      <c r="AT41" s="64">
        <f>$AH41-'Cost of Sales'!Q$15-(Q41*Launch_Cost)</f>
        <v>262.68734905968859</v>
      </c>
    </row>
    <row r="42" spans="1:46" x14ac:dyDescent="0.25">
      <c r="A42" s="6" t="s">
        <v>29</v>
      </c>
      <c r="B42" s="57">
        <v>400</v>
      </c>
      <c r="C42" s="11">
        <f>'400V Set-points'!I41</f>
        <v>16000</v>
      </c>
      <c r="D42" s="11">
        <f>'400V Set-points'!L41</f>
        <v>59495.030005789537</v>
      </c>
      <c r="E42" s="11">
        <f>'400V Set-points'!B41</f>
        <v>515.904</v>
      </c>
      <c r="F42" s="58">
        <f>'400V Set-points'!D41</f>
        <v>28.736000000000001</v>
      </c>
      <c r="G42" s="56">
        <f>'400V Set-points'!E41</f>
        <v>0.60599999999999998</v>
      </c>
      <c r="H42" s="11">
        <f>'400V Set-points'!F41</f>
        <v>2217</v>
      </c>
      <c r="I42" s="11">
        <f>'400V Set-points'!K41</f>
        <v>22477.310005789532</v>
      </c>
      <c r="J42" s="11">
        <f>'400V Set-points'!G41</f>
        <v>5297.19</v>
      </c>
      <c r="K42" s="11">
        <f>'400V Set-points'!H41</f>
        <v>15720.53</v>
      </c>
      <c r="L42" s="11">
        <f>'400V Set-points'!J41</f>
        <v>37017.72</v>
      </c>
      <c r="M42" s="21">
        <f>'400V Set-points'!O41</f>
        <v>2.4122256300866562E-2</v>
      </c>
      <c r="N42" s="11">
        <f>'400V Set-points'!R41</f>
        <v>64</v>
      </c>
      <c r="O42" s="11">
        <f>'400V Set-points'!S41</f>
        <v>8061</v>
      </c>
      <c r="P42" s="21">
        <f>'400V Set-points'!T41</f>
        <v>0.44900000000000001</v>
      </c>
      <c r="Q42" s="56">
        <f>'400V Set-points'!W41</f>
        <v>0.24964958249539881</v>
      </c>
      <c r="R42" s="11">
        <f>'400V Set-points'!X41</f>
        <v>90035.44</v>
      </c>
      <c r="S42">
        <f t="shared" si="0"/>
        <v>4.8299832771247722E-4</v>
      </c>
      <c r="T42" s="12">
        <f t="shared" si="1"/>
        <v>5247.0650230051942</v>
      </c>
      <c r="U42" s="12">
        <f t="shared" si="2"/>
        <v>26264.785023005192</v>
      </c>
      <c r="V42">
        <f t="shared" si="3"/>
        <v>1.0940885286070412E-3</v>
      </c>
      <c r="W42">
        <f t="shared" si="4"/>
        <v>-1.3217282137302229E-3</v>
      </c>
      <c r="X42">
        <f t="shared" si="5"/>
        <v>-2.2215775226966081E-8</v>
      </c>
      <c r="Y42">
        <f t="shared" si="12"/>
        <v>-5.0323207007882525E-8</v>
      </c>
      <c r="Z42" s="12">
        <f t="shared" si="6"/>
        <v>58967.757405212389</v>
      </c>
      <c r="AA42" s="55">
        <f t="shared" si="13"/>
        <v>0.68249719218995819</v>
      </c>
      <c r="AB42" s="12">
        <f>ABS((1/Y42)*(1-EXP((Y42*'Mission Params'!$B$13)/V42)))</f>
        <v>3971080.3624978503</v>
      </c>
      <c r="AC42">
        <f t="shared" si="14"/>
        <v>45.961578269651042</v>
      </c>
      <c r="AD42" t="str">
        <f t="shared" si="7"/>
        <v>64 HET 8061W</v>
      </c>
      <c r="AE42">
        <f t="shared" si="8"/>
        <v>16000</v>
      </c>
      <c r="AF42" s="55">
        <f t="shared" si="15"/>
        <v>46.644075461840998</v>
      </c>
      <c r="AG42" s="55">
        <f t="shared" si="9"/>
        <v>6.0187247842481915</v>
      </c>
      <c r="AH42" s="59">
        <f t="shared" si="10"/>
        <v>600</v>
      </c>
      <c r="AI42" s="65">
        <f t="shared" si="11"/>
        <v>6.7672623059945591E-2</v>
      </c>
      <c r="AJ42" s="59">
        <v>-2000</v>
      </c>
      <c r="AK42" s="64">
        <f>$AH42-'Cost of Sales'!H$15-(I42*Launch_Cost)</f>
        <v>304.48585990269748</v>
      </c>
      <c r="AL42" s="64">
        <f>$AH42-'Cost of Sales'!I$15-(J42*Launch_Cost)</f>
        <v>325.00470101523513</v>
      </c>
      <c r="AM42" s="64">
        <f>$AH42-'Cost of Sales'!J$15-(K42*Launch_Cost)</f>
        <v>299.86198073691475</v>
      </c>
      <c r="AN42" s="64">
        <f>$AH42-'Cost of Sales'!K$15-(L42*Launch_Cost)</f>
        <v>256.58377620134189</v>
      </c>
      <c r="AO42" s="64">
        <f>$AH42-'Cost of Sales'!L$15-(D42*Launch_Cost)</f>
        <v>211.11652878819876</v>
      </c>
      <c r="AP42" s="64">
        <f>$AH42-'Cost of Sales'!M$15-(M42*Launch_Cost)</f>
        <v>300.30245352785136</v>
      </c>
      <c r="AQ42" s="64">
        <f>$AH42-'Cost of Sales'!N$15-(N42*Launch_Cost)</f>
        <v>291.20623887070917</v>
      </c>
      <c r="AR42" s="64">
        <f>$AH42-'Cost of Sales'!O$15-(O42*Launch_Cost)</f>
        <v>268.78437901488684</v>
      </c>
      <c r="AS42" s="64">
        <f>$AH42-'Cost of Sales'!P$15-(P42*Launch_Cost)</f>
        <v>272.51170356715164</v>
      </c>
      <c r="AT42" s="64">
        <f>$AH42-'Cost of Sales'!Q$15-(Q42*Launch_Cost)</f>
        <v>262.6874049272044</v>
      </c>
    </row>
    <row r="43" spans="1:46" x14ac:dyDescent="0.25">
      <c r="A43" t="s">
        <v>56</v>
      </c>
      <c r="B43" s="54">
        <v>800</v>
      </c>
      <c r="C43" s="12">
        <f>'800V Set-points'!I31</f>
        <v>24000</v>
      </c>
      <c r="D43" s="12">
        <f>'800V Set-points'!L31</f>
        <v>55940.763567345377</v>
      </c>
      <c r="E43" s="12">
        <f>'800V Set-points'!B31</f>
        <v>386.25600000000003</v>
      </c>
      <c r="F43" s="55">
        <f>'800V Set-points'!D31</f>
        <v>15.600000000000001</v>
      </c>
      <c r="G43" s="2">
        <f>'800V Set-points'!E31</f>
        <v>0.60699999999999998</v>
      </c>
      <c r="H43" s="12">
        <f>'800V Set-points'!F31</f>
        <v>3068</v>
      </c>
      <c r="I43" s="12">
        <f>'800V Set-points'!K31</f>
        <v>17594.763567345381</v>
      </c>
      <c r="J43" s="12">
        <f>'800V Set-points'!G31</f>
        <v>4238</v>
      </c>
      <c r="K43" s="12">
        <f>'800V Set-points'!H31</f>
        <v>10108</v>
      </c>
      <c r="L43" s="12">
        <f>'800V Set-points'!J31</f>
        <v>38346</v>
      </c>
      <c r="M43" s="41">
        <f>'800V Set-points'!O31</f>
        <v>2.4338889637318922E-2</v>
      </c>
      <c r="N43" s="12">
        <f>'800V Set-points'!R31</f>
        <v>48</v>
      </c>
      <c r="O43" s="12">
        <f>'800V Set-points'!S31</f>
        <v>8047</v>
      </c>
      <c r="P43" s="41">
        <f>'800V Set-points'!T31</f>
        <v>0.32500000000000001</v>
      </c>
      <c r="Q43" s="2">
        <f>'800V Set-points'!W31</f>
        <v>0.17473844562969632</v>
      </c>
      <c r="R43" s="12">
        <f>'800V Set-points'!X31</f>
        <v>100692</v>
      </c>
      <c r="S43">
        <f t="shared" si="0"/>
        <v>2.7886641163236248E-4</v>
      </c>
      <c r="T43" s="12">
        <f t="shared" si="1"/>
        <v>2506.7977410036233</v>
      </c>
      <c r="U43" s="12">
        <f t="shared" si="2"/>
        <v>16852.797741003626</v>
      </c>
      <c r="V43">
        <f t="shared" si="3"/>
        <v>9.2566232857850593E-4</v>
      </c>
      <c r="W43">
        <f t="shared" si="4"/>
        <v>-5.1850241293739576E-4</v>
      </c>
      <c r="X43">
        <f t="shared" si="5"/>
        <v>-9.2687761101649346E-9</v>
      </c>
      <c r="Y43">
        <f t="shared" si="12"/>
        <v>-3.0766548136743829E-8</v>
      </c>
      <c r="Z43" s="12">
        <f t="shared" si="6"/>
        <v>102151.08224086656</v>
      </c>
      <c r="AA43" s="55">
        <f t="shared" si="13"/>
        <v>1.1823041926026221</v>
      </c>
      <c r="AB43" s="12">
        <f>ABS((1/Y43)*(1-EXP((Y43*'Mission Params'!$B$13)/V43)))</f>
        <v>4836233.486604223</v>
      </c>
      <c r="AC43">
        <f t="shared" si="14"/>
        <v>55.974924613474805</v>
      </c>
      <c r="AD43" t="str">
        <f t="shared" si="7"/>
        <v>48 HET 8047W</v>
      </c>
      <c r="AE43">
        <f t="shared" si="8"/>
        <v>24000</v>
      </c>
      <c r="AF43" s="55">
        <f t="shared" si="15"/>
        <v>57.157228806077427</v>
      </c>
      <c r="AG43" s="55">
        <f t="shared" si="9"/>
        <v>5.1294858740876927</v>
      </c>
      <c r="AH43" s="59">
        <f t="shared" si="10"/>
        <v>900</v>
      </c>
      <c r="AI43" s="65">
        <f t="shared" si="11"/>
        <v>0.26895609755958927</v>
      </c>
      <c r="AJ43" s="59">
        <v>-2000</v>
      </c>
      <c r="AK43" s="64">
        <f>$AH43-'Cost of Sales'!H$15-(I43*Launch_Cost)</f>
        <v>612.52139871204918</v>
      </c>
      <c r="AL43" s="64">
        <f>$AH43-'Cost of Sales'!I$15-(J43*Launch_Cost)</f>
        <v>626.74788204971787</v>
      </c>
      <c r="AM43" s="64">
        <f>$AH43-'Cost of Sales'!J$15-(K43*Launch_Cost)</f>
        <v>609.09890315070788</v>
      </c>
      <c r="AN43" s="64">
        <f>$AH43-'Cost of Sales'!K$15-(L43*Launch_Cost)</f>
        <v>554.39773544899083</v>
      </c>
      <c r="AO43" s="64">
        <f>$AH43-'Cost of Sales'!L$15-(D43*Launch_Cost)</f>
        <v>516.96602684519928</v>
      </c>
      <c r="AP43" s="64">
        <f>$AH43-'Cost of Sales'!M$15-(M43*Launch_Cost)</f>
        <v>600.30245317132324</v>
      </c>
      <c r="AQ43" s="64">
        <f>$AH43-'Cost of Sales'!N$15-(N43*Launch_Cost)</f>
        <v>591.23257115911042</v>
      </c>
      <c r="AR43" s="64">
        <f>$AH43-'Cost of Sales'!O$15-(O43*Launch_Cost)</f>
        <v>568.80741976723789</v>
      </c>
      <c r="AS43" s="64">
        <f>$AH43-'Cost of Sales'!P$15-(P43*Launch_Cost)</f>
        <v>572.51190764238675</v>
      </c>
      <c r="AT43" s="64">
        <f>$AH43-'Cost of Sales'!Q$15-(Q43*Launch_Cost)</f>
        <v>562.68752821355827</v>
      </c>
    </row>
    <row r="44" spans="1:46" x14ac:dyDescent="0.25">
      <c r="A44" t="s">
        <v>60</v>
      </c>
      <c r="B44" s="54">
        <v>800</v>
      </c>
      <c r="C44" s="12">
        <f>'800V Set-points'!I38</f>
        <v>24000</v>
      </c>
      <c r="D44" s="12">
        <f>'800V Set-points'!L38</f>
        <v>58004.522954591361</v>
      </c>
      <c r="E44" s="12">
        <f>'800V Set-points'!B38</f>
        <v>405.88800000000003</v>
      </c>
      <c r="F44" s="55">
        <f>'800V Set-points'!D38</f>
        <v>15.231999999999999</v>
      </c>
      <c r="G44" s="2">
        <f>'800V Set-points'!E38</f>
        <v>0.57999999999999996</v>
      </c>
      <c r="H44" s="12">
        <f>'800V Set-points'!F38</f>
        <v>3152</v>
      </c>
      <c r="I44" s="12">
        <f>'800V Set-points'!K38</f>
        <v>17739.522954591361</v>
      </c>
      <c r="J44" s="12">
        <f>'800V Set-points'!G38</f>
        <v>5208</v>
      </c>
      <c r="K44" s="12">
        <f>'800V Set-points'!H38</f>
        <v>11057</v>
      </c>
      <c r="L44" s="12">
        <f>'800V Set-points'!J38</f>
        <v>40265</v>
      </c>
      <c r="M44" s="41">
        <f>'800V Set-points'!O38</f>
        <v>1.5191901233347016E-2</v>
      </c>
      <c r="N44" s="12">
        <f>'800V Set-points'!R38</f>
        <v>64</v>
      </c>
      <c r="O44" s="12">
        <f>'800V Set-points'!S38</f>
        <v>6342</v>
      </c>
      <c r="P44" s="41">
        <f>'800V Set-points'!T38</f>
        <v>0.23799999999999999</v>
      </c>
      <c r="Q44" s="2">
        <f>'800V Set-points'!W38</f>
        <v>0.16970748067149488</v>
      </c>
      <c r="R44" s="12">
        <f>'800V Set-points'!X38</f>
        <v>104530</v>
      </c>
      <c r="S44">
        <f t="shared" si="0"/>
        <v>2.6260021157185133E-4</v>
      </c>
      <c r="T44" s="12">
        <f t="shared" si="1"/>
        <v>2760.2921731218644</v>
      </c>
      <c r="U44" s="12">
        <f t="shared" si="2"/>
        <v>19025.292173121867</v>
      </c>
      <c r="V44">
        <f t="shared" si="3"/>
        <v>8.0061845365608255E-4</v>
      </c>
      <c r="W44">
        <f t="shared" si="4"/>
        <v>-4.9277907833955397E-4</v>
      </c>
      <c r="X44">
        <f t="shared" si="5"/>
        <v>-8.4955285077566172E-9</v>
      </c>
      <c r="Y44">
        <f t="shared" si="12"/>
        <v>-2.5901262059761244E-8</v>
      </c>
      <c r="Z44" s="12">
        <f t="shared" si="6"/>
        <v>108479.97831463328</v>
      </c>
      <c r="AA44" s="55">
        <f t="shared" si="13"/>
        <v>1.2555553045675147</v>
      </c>
      <c r="AB44" s="12">
        <f>ABS((1/Y44)*(1-EXP((Y44*'Mission Params'!$B$13)/V44)))</f>
        <v>5603273.8196252333</v>
      </c>
      <c r="AC44">
        <f t="shared" si="14"/>
        <v>64.852706245662418</v>
      </c>
      <c r="AD44" t="str">
        <f t="shared" si="7"/>
        <v>64 HET 6342W</v>
      </c>
      <c r="AE44">
        <f t="shared" si="8"/>
        <v>24000</v>
      </c>
      <c r="AF44" s="55">
        <f t="shared" si="15"/>
        <v>66.108261550229926</v>
      </c>
      <c r="AG44" s="55">
        <f t="shared" si="9"/>
        <v>4.5563340526511826</v>
      </c>
      <c r="AH44" s="59">
        <f t="shared" si="10"/>
        <v>900</v>
      </c>
      <c r="AI44" s="65">
        <f t="shared" si="11"/>
        <v>0.26829346763531325</v>
      </c>
      <c r="AJ44" s="59">
        <v>-2000</v>
      </c>
      <c r="AK44" s="64">
        <f>$AH44-'Cost of Sales'!H$15-(I44*Launch_Cost)</f>
        <v>612.28315834118973</v>
      </c>
      <c r="AL44" s="64">
        <f>$AH44-'Cost of Sales'!I$15-(J44*Launch_Cost)</f>
        <v>625.15148706539185</v>
      </c>
      <c r="AM44" s="64">
        <f>$AH44-'Cost of Sales'!J$15-(K44*Launch_Cost)</f>
        <v>607.53706929490852</v>
      </c>
      <c r="AN44" s="64">
        <f>$AH44-'Cost of Sales'!K$15-(L44*Launch_Cost)</f>
        <v>551.23950660886544</v>
      </c>
      <c r="AO44" s="64">
        <f>$AH44-'Cost of Sales'!L$15-(D44*Launch_Cost)</f>
        <v>513.56955763421456</v>
      </c>
      <c r="AP44" s="64">
        <f>$AH44-'Cost of Sales'!M$15-(M44*Launch_Cost)</f>
        <v>600.30246822514425</v>
      </c>
      <c r="AQ44" s="64">
        <f>$AH44-'Cost of Sales'!N$15-(N44*Launch_Cost)</f>
        <v>591.20623887070917</v>
      </c>
      <c r="AR44" s="64">
        <f>$AH44-'Cost of Sales'!O$15-(O44*Launch_Cost)</f>
        <v>571.61345424999649</v>
      </c>
      <c r="AS44" s="64">
        <f>$AH44-'Cost of Sales'!P$15-(P44*Launch_Cost)</f>
        <v>572.51205082420495</v>
      </c>
      <c r="AT44" s="64">
        <f>$AH44-'Cost of Sales'!Q$15-(Q44*Launch_Cost)</f>
        <v>562.68753649335952</v>
      </c>
    </row>
    <row r="45" spans="1:46" x14ac:dyDescent="0.25">
      <c r="A45" t="s">
        <v>57</v>
      </c>
      <c r="B45" s="54">
        <v>800</v>
      </c>
      <c r="C45" s="12">
        <f>'800V Set-points'!I42</f>
        <v>24000</v>
      </c>
      <c r="D45" s="12">
        <f>'800V Set-points'!L42</f>
        <v>64940.424955154274</v>
      </c>
      <c r="E45" s="12">
        <f>'800V Set-points'!B42</f>
        <v>515.00800000000004</v>
      </c>
      <c r="F45" s="55">
        <f>'800V Set-points'!D42</f>
        <v>20.8</v>
      </c>
      <c r="G45" s="2">
        <f>'800V Set-points'!E42</f>
        <v>0.60699999999999998</v>
      </c>
      <c r="H45" s="12">
        <f>'800V Set-points'!F42</f>
        <v>3068</v>
      </c>
      <c r="I45" s="12">
        <f>'800V Set-points'!K42</f>
        <v>19925.424955154271</v>
      </c>
      <c r="J45" s="12">
        <f>'800V Set-points'!G42</f>
        <v>5297</v>
      </c>
      <c r="K45" s="12">
        <f>'800V Set-points'!H42</f>
        <v>15718</v>
      </c>
      <c r="L45" s="12">
        <f>'800V Set-points'!J42</f>
        <v>45015</v>
      </c>
      <c r="M45" s="41">
        <f>'800V Set-points'!O42</f>
        <v>2.1857241993380988E-2</v>
      </c>
      <c r="N45" s="12">
        <f>'800V Set-points'!R42</f>
        <v>64</v>
      </c>
      <c r="O45" s="12">
        <f>'800V Set-points'!S42</f>
        <v>8047</v>
      </c>
      <c r="P45" s="41">
        <f>'800V Set-points'!T42</f>
        <v>0.32500000000000001</v>
      </c>
      <c r="Q45" s="2">
        <f>'800V Set-points'!W42</f>
        <v>0.17473844562969632</v>
      </c>
      <c r="R45" s="12">
        <f>'800V Set-points'!X42</f>
        <v>114030</v>
      </c>
      <c r="S45">
        <f t="shared" si="0"/>
        <v>3.2029356158916111E-4</v>
      </c>
      <c r="T45" s="12">
        <f t="shared" si="1"/>
        <v>3672.1284349080679</v>
      </c>
      <c r="U45" s="12">
        <f t="shared" si="2"/>
        <v>24687.128434908067</v>
      </c>
      <c r="V45">
        <f t="shared" si="3"/>
        <v>8.4254432648344822E-4</v>
      </c>
      <c r="W45">
        <f t="shared" si="4"/>
        <v>-6.9133655058319424E-4</v>
      </c>
      <c r="X45">
        <f t="shared" si="5"/>
        <v>-1.0645704136685409E-8</v>
      </c>
      <c r="Y45">
        <f t="shared" si="12"/>
        <v>-2.8003927326178257E-8</v>
      </c>
      <c r="Z45" s="12">
        <f t="shared" si="6"/>
        <v>88938.739847079094</v>
      </c>
      <c r="AA45" s="55">
        <f t="shared" si="13"/>
        <v>1.0293835630448969</v>
      </c>
      <c r="AB45" s="12">
        <f>ABS((1/Y45)*(1-EXP((Y45*'Mission Params'!$B$13)/V45)))</f>
        <v>5313333.6847024113</v>
      </c>
      <c r="AC45">
        <f t="shared" si="14"/>
        <v>61.496917647018648</v>
      </c>
      <c r="AD45" t="str">
        <f t="shared" si="7"/>
        <v>64 HET 8047W</v>
      </c>
      <c r="AE45">
        <f t="shared" si="8"/>
        <v>24000</v>
      </c>
      <c r="AF45" s="55">
        <f t="shared" si="15"/>
        <v>62.526301210063544</v>
      </c>
      <c r="AG45" s="55">
        <f t="shared" si="9"/>
        <v>4.7696020090933251</v>
      </c>
      <c r="AH45" s="59">
        <f t="shared" si="10"/>
        <v>900</v>
      </c>
      <c r="AI45" s="65">
        <f t="shared" si="11"/>
        <v>0.26591187336484667</v>
      </c>
      <c r="AJ45" s="59">
        <v>-2000</v>
      </c>
      <c r="AK45" s="64">
        <f>$AH45-'Cost of Sales'!H$15-(I45*Launch_Cost)</f>
        <v>608.68567072270844</v>
      </c>
      <c r="AL45" s="64">
        <f>$AH45-'Cost of Sales'!I$15-(J45*Launch_Cost)</f>
        <v>625.0050137111599</v>
      </c>
      <c r="AM45" s="64">
        <f>$AH45-'Cost of Sales'!J$15-(K45*Launch_Cost)</f>
        <v>599.86614453001823</v>
      </c>
      <c r="AN45" s="64">
        <f>$AH45-'Cost of Sales'!K$15-(L45*Launch_Cost)</f>
        <v>543.4221084897431</v>
      </c>
      <c r="AO45" s="64">
        <f>$AH45-'Cost of Sales'!L$15-(D45*Launch_Cost)</f>
        <v>502.15467189661103</v>
      </c>
      <c r="AP45" s="64">
        <f>$AH45-'Cost of Sales'!M$15-(M45*Launch_Cost)</f>
        <v>600.30245725553959</v>
      </c>
      <c r="AQ45" s="64">
        <f>$AH45-'Cost of Sales'!N$15-(N45*Launch_Cost)</f>
        <v>591.20623887070917</v>
      </c>
      <c r="AR45" s="64">
        <f>$AH45-'Cost of Sales'!O$15-(O45*Launch_Cost)</f>
        <v>568.80741976723789</v>
      </c>
      <c r="AS45" s="64">
        <f>$AH45-'Cost of Sales'!P$15-(P45*Launch_Cost)</f>
        <v>572.51190764238675</v>
      </c>
      <c r="AT45" s="64">
        <f>$AH45-'Cost of Sales'!Q$15-(Q45*Launch_Cost)</f>
        <v>562.68752821355827</v>
      </c>
    </row>
    <row r="46" spans="1:46" x14ac:dyDescent="0.25">
      <c r="A46" t="s">
        <v>49</v>
      </c>
      <c r="B46" s="54">
        <v>600</v>
      </c>
      <c r="C46" s="12">
        <f>'600V Set-points'!I42</f>
        <v>24000</v>
      </c>
      <c r="D46" s="12">
        <f>'600V Set-points'!L42</f>
        <v>68516.221170069461</v>
      </c>
      <c r="E46" s="12">
        <f>'600V Set-points'!B42</f>
        <v>515.71199999999999</v>
      </c>
      <c r="F46" s="55">
        <f>'600V Set-points'!D42</f>
        <v>24.128</v>
      </c>
      <c r="G46" s="2">
        <f>'600V Set-points'!E42</f>
        <v>0.60599999999999998</v>
      </c>
      <c r="H46" s="12">
        <f>'600V Set-points'!F42</f>
        <v>2637</v>
      </c>
      <c r="I46" s="12">
        <f>'600V Set-points'!K42</f>
        <v>23499.074041988231</v>
      </c>
      <c r="J46" s="12">
        <f>'600V Set-points'!G42</f>
        <v>5297.1849999999995</v>
      </c>
      <c r="K46" s="12">
        <f>'600V Set-points'!H42</f>
        <v>15719.962128081233</v>
      </c>
      <c r="L46" s="12">
        <f>'600V Set-points'!J42</f>
        <v>45017.147128081233</v>
      </c>
      <c r="M46" s="41">
        <f>'600V Set-points'!O42</f>
        <v>3.1282478662377766E-3</v>
      </c>
      <c r="N46" s="12">
        <f>'600V Set-points'!R42</f>
        <v>64</v>
      </c>
      <c r="O46" s="12">
        <f>'600V Set-points'!S42</f>
        <v>8058</v>
      </c>
      <c r="P46" s="41">
        <f>'600V Set-points'!T42</f>
        <v>0.377</v>
      </c>
      <c r="Q46" s="2">
        <f>'600V Set-points'!W42</f>
        <v>0.2060702369867855</v>
      </c>
      <c r="R46" s="12">
        <f>'600V Set-points'!X42</f>
        <v>106034.29425616247</v>
      </c>
      <c r="S46">
        <f t="shared" si="0"/>
        <v>3.5215018557590921E-4</v>
      </c>
      <c r="T46" s="12">
        <f t="shared" si="1"/>
        <v>4331.0084894698384</v>
      </c>
      <c r="U46" s="12">
        <f t="shared" si="2"/>
        <v>25348.15561755107</v>
      </c>
      <c r="V46">
        <f t="shared" si="3"/>
        <v>9.5186412629145155E-4</v>
      </c>
      <c r="W46">
        <f t="shared" si="4"/>
        <v>-9.3302382371616163E-4</v>
      </c>
      <c r="X46">
        <f t="shared" si="5"/>
        <v>-1.3617561035659429E-8</v>
      </c>
      <c r="Y46">
        <f t="shared" si="12"/>
        <v>-3.6808351573719063E-8</v>
      </c>
      <c r="Z46" s="12">
        <f t="shared" si="6"/>
        <v>80886.798248704465</v>
      </c>
      <c r="AA46" s="55">
        <f t="shared" si="13"/>
        <v>0.93618979454519058</v>
      </c>
      <c r="AB46" s="12">
        <f>ABS((1/Y46)*(1-EXP((Y46*'Mission Params'!$B$13)/V46)))</f>
        <v>4643368.8347945325</v>
      </c>
      <c r="AC46">
        <f t="shared" si="14"/>
        <v>53.742694847158944</v>
      </c>
      <c r="AD46" t="str">
        <f t="shared" si="7"/>
        <v>64 HET 8058W</v>
      </c>
      <c r="AE46">
        <f t="shared" si="8"/>
        <v>24000</v>
      </c>
      <c r="AF46" s="55">
        <f t="shared" si="15"/>
        <v>54.678884641704137</v>
      </c>
      <c r="AG46" s="55">
        <f t="shared" si="9"/>
        <v>5.3145883469744009</v>
      </c>
      <c r="AH46" s="59">
        <f t="shared" si="10"/>
        <v>900</v>
      </c>
      <c r="AI46" s="65">
        <f t="shared" si="11"/>
        <v>0.26478859142305833</v>
      </c>
      <c r="AJ46" s="59">
        <v>-2000</v>
      </c>
      <c r="AK46" s="64">
        <f>$AH46-'Cost of Sales'!H$15-(I46*Launch_Cost)</f>
        <v>602.80427332274667</v>
      </c>
      <c r="AL46" s="64">
        <f>$AH46-'Cost of Sales'!I$15-(J46*Launch_Cost)</f>
        <v>625.00470924407523</v>
      </c>
      <c r="AM46" s="64">
        <f>$AH46-'Cost of Sales'!J$15-(K46*Launch_Cost)</f>
        <v>599.862915322361</v>
      </c>
      <c r="AN46" s="64">
        <f>$AH46-'Cost of Sales'!K$15-(L46*Launch_Cost)</f>
        <v>543.41857481500131</v>
      </c>
      <c r="AO46" s="64">
        <f>$AH46-'Cost of Sales'!L$15-(D46*Launch_Cost)</f>
        <v>496.26974082190736</v>
      </c>
      <c r="AP46" s="64">
        <f>$AH46-'Cost of Sales'!M$15-(M46*Launch_Cost)</f>
        <v>600.30248807911926</v>
      </c>
      <c r="AQ46" s="64">
        <f>$AH46-'Cost of Sales'!N$15-(N46*Launch_Cost)</f>
        <v>591.20623887070917</v>
      </c>
      <c r="AR46" s="64">
        <f>$AH46-'Cost of Sales'!O$15-(O46*Launch_Cost)</f>
        <v>568.78931631896205</v>
      </c>
      <c r="AS46" s="64">
        <f>$AH46-'Cost of Sales'!P$15-(P46*Launch_Cost)</f>
        <v>572.51182206244948</v>
      </c>
      <c r="AT46" s="64">
        <f>$AH46-'Cost of Sales'!Q$15-(Q46*Launch_Cost)</f>
        <v>562.68747664869784</v>
      </c>
    </row>
    <row r="47" spans="1:46" x14ac:dyDescent="0.25">
      <c r="A47" s="6" t="s">
        <v>29</v>
      </c>
      <c r="B47" s="57">
        <v>400</v>
      </c>
      <c r="C47" s="11">
        <f>'400V Set-points'!I42</f>
        <v>24000</v>
      </c>
      <c r="D47" s="11">
        <f>'400V Set-points'!L42</f>
        <v>73486.619985679106</v>
      </c>
      <c r="E47" s="11">
        <f>'400V Set-points'!B42</f>
        <v>515.904</v>
      </c>
      <c r="F47" s="58">
        <f>'400V Set-points'!D42</f>
        <v>28.736000000000001</v>
      </c>
      <c r="G47" s="56">
        <f>'400V Set-points'!E42</f>
        <v>0.60599999999999998</v>
      </c>
      <c r="H47" s="11">
        <f>'400V Set-points'!F42</f>
        <v>2217</v>
      </c>
      <c r="I47" s="11">
        <f>'400V Set-points'!K42</f>
        <v>28468.899985679102</v>
      </c>
      <c r="J47" s="11">
        <f>'400V Set-points'!G42</f>
        <v>5297.19</v>
      </c>
      <c r="K47" s="11">
        <f>'400V Set-points'!H42</f>
        <v>15720.53</v>
      </c>
      <c r="L47" s="11">
        <f>'400V Set-points'!J42</f>
        <v>45017.72</v>
      </c>
      <c r="M47" s="21">
        <f>'400V Set-points'!O42</f>
        <v>-1.860199129747625E-2</v>
      </c>
      <c r="N47" s="11">
        <f>'400V Set-points'!R42</f>
        <v>64</v>
      </c>
      <c r="O47" s="11">
        <f>'400V Set-points'!S42</f>
        <v>8061</v>
      </c>
      <c r="P47" s="21">
        <f>'400V Set-points'!T42</f>
        <v>0.44900000000000001</v>
      </c>
      <c r="Q47" s="56">
        <f>'400V Set-points'!W42</f>
        <v>0.24964958249539881</v>
      </c>
      <c r="R47" s="11">
        <f>'400V Set-points'!X42</f>
        <v>114035.44</v>
      </c>
      <c r="S47">
        <f t="shared" si="0"/>
        <v>3.9103717119660697E-4</v>
      </c>
      <c r="T47" s="12">
        <f t="shared" si="1"/>
        <v>5247.0650230051942</v>
      </c>
      <c r="U47" s="12">
        <f t="shared" si="2"/>
        <v>26264.785023005192</v>
      </c>
      <c r="V47">
        <f t="shared" si="3"/>
        <v>1.0940885286070412E-3</v>
      </c>
      <c r="W47">
        <f t="shared" si="4"/>
        <v>-1.3217282137302229E-3</v>
      </c>
      <c r="X47">
        <f t="shared" si="5"/>
        <v>-1.7985970969787397E-8</v>
      </c>
      <c r="Y47">
        <f t="shared" si="12"/>
        <v>-5.0323207007882525E-8</v>
      </c>
      <c r="Z47" s="12">
        <f t="shared" si="6"/>
        <v>72835.34741343731</v>
      </c>
      <c r="AA47" s="55">
        <f t="shared" si="13"/>
        <v>0.84300170617404291</v>
      </c>
      <c r="AB47" s="12">
        <f>ABS((1/Y47)*(1-EXP((Y47*'Mission Params'!$B$13)/V47)))</f>
        <v>3971080.3624978503</v>
      </c>
      <c r="AC47">
        <f t="shared" si="14"/>
        <v>45.961578269651042</v>
      </c>
      <c r="AD47" t="str">
        <f t="shared" si="7"/>
        <v>64 HET 8061W</v>
      </c>
      <c r="AE47">
        <f t="shared" si="8"/>
        <v>24000</v>
      </c>
      <c r="AF47" s="55">
        <f t="shared" si="15"/>
        <v>46.804579975825085</v>
      </c>
      <c r="AG47" s="55">
        <f t="shared" si="9"/>
        <v>6.0028372886568429</v>
      </c>
      <c r="AH47" s="59">
        <f t="shared" si="10"/>
        <v>900</v>
      </c>
      <c r="AI47" s="65">
        <f t="shared" si="11"/>
        <v>0.26323136312979689</v>
      </c>
      <c r="AJ47" s="59">
        <v>-2000</v>
      </c>
      <c r="AK47" s="64">
        <f>$AH47-'Cost of Sales'!H$15-(I47*Launch_Cost)</f>
        <v>594.62509269441523</v>
      </c>
      <c r="AL47" s="64">
        <f>$AH47-'Cost of Sales'!I$15-(J47*Launch_Cost)</f>
        <v>625.00470101523513</v>
      </c>
      <c r="AM47" s="64">
        <f>$AH47-'Cost of Sales'!J$15-(K47*Launch_Cost)</f>
        <v>599.8619807369148</v>
      </c>
      <c r="AN47" s="64">
        <f>$AH47-'Cost of Sales'!K$15-(L47*Launch_Cost)</f>
        <v>543.41763200071489</v>
      </c>
      <c r="AO47" s="64">
        <f>$AH47-'Cost of Sales'!L$15-(D47*Launch_Cost)</f>
        <v>488.08961737928962</v>
      </c>
      <c r="AP47" s="64">
        <f>$AH47-'Cost of Sales'!M$15-(M47*Launch_Cost)</f>
        <v>600.30252384205198</v>
      </c>
      <c r="AQ47" s="64">
        <f>$AH47-'Cost of Sales'!N$15-(N47*Launch_Cost)</f>
        <v>591.20623887070917</v>
      </c>
      <c r="AR47" s="64">
        <f>$AH47-'Cost of Sales'!O$15-(O47*Launch_Cost)</f>
        <v>568.78437901488678</v>
      </c>
      <c r="AS47" s="64">
        <f>$AH47-'Cost of Sales'!P$15-(P47*Launch_Cost)</f>
        <v>572.5117035671517</v>
      </c>
      <c r="AT47" s="64">
        <f>$AH47-'Cost of Sales'!Q$15-(Q47*Launch_Cost)</f>
        <v>562.68740492720451</v>
      </c>
    </row>
    <row r="48" spans="1:46" x14ac:dyDescent="0.25">
      <c r="A48" t="s">
        <v>57</v>
      </c>
      <c r="B48" s="54">
        <v>800</v>
      </c>
      <c r="C48" s="12">
        <f>'800V Set-points'!I43</f>
        <v>36000</v>
      </c>
      <c r="D48" s="12">
        <f>'800V Set-points'!L43</f>
        <v>83231.008997823345</v>
      </c>
      <c r="E48" s="12">
        <f>'800V Set-points'!B43</f>
        <v>515.00800000000004</v>
      </c>
      <c r="F48" s="55">
        <f>'800V Set-points'!D43</f>
        <v>20.8</v>
      </c>
      <c r="G48" s="2">
        <f>'800V Set-points'!E43</f>
        <v>0.60699999999999998</v>
      </c>
      <c r="H48" s="12">
        <f>'800V Set-points'!F43</f>
        <v>3068</v>
      </c>
      <c r="I48" s="12">
        <f>'800V Set-points'!K43</f>
        <v>26216.008997823337</v>
      </c>
      <c r="J48" s="12">
        <f>'800V Set-points'!G43</f>
        <v>5297</v>
      </c>
      <c r="K48" s="12">
        <f>'800V Set-points'!H43</f>
        <v>15718</v>
      </c>
      <c r="L48" s="12">
        <f>'800V Set-points'!J43</f>
        <v>57015</v>
      </c>
      <c r="M48" s="41">
        <f>'800V Set-points'!O43</f>
        <v>1.8994176012680775E-2</v>
      </c>
      <c r="N48" s="12">
        <f>'800V Set-points'!R43</f>
        <v>64</v>
      </c>
      <c r="O48" s="12">
        <f>'800V Set-points'!S43</f>
        <v>8047</v>
      </c>
      <c r="P48" s="41">
        <f>'800V Set-points'!T43</f>
        <v>0.32500000000000001</v>
      </c>
      <c r="Q48" s="2">
        <f>'800V Set-points'!W43</f>
        <v>0.17473844562969632</v>
      </c>
      <c r="R48" s="12">
        <f>'800V Set-points'!X43</f>
        <v>150030</v>
      </c>
      <c r="S48">
        <f t="shared" si="0"/>
        <v>2.4990685863899551E-4</v>
      </c>
      <c r="T48" s="12">
        <f t="shared" si="1"/>
        <v>3672.1284349080679</v>
      </c>
      <c r="U48" s="12">
        <f t="shared" si="2"/>
        <v>24687.128434908067</v>
      </c>
      <c r="V48">
        <f t="shared" si="3"/>
        <v>8.4254432648344822E-4</v>
      </c>
      <c r="W48">
        <f t="shared" si="4"/>
        <v>-6.9133655058319424E-4</v>
      </c>
      <c r="X48">
        <f t="shared" si="5"/>
        <v>-8.3062377701233213E-9</v>
      </c>
      <c r="Y48">
        <f t="shared" si="12"/>
        <v>-2.8003927326178257E-8</v>
      </c>
      <c r="Z48" s="12">
        <f t="shared" si="6"/>
        <v>113988.49116831629</v>
      </c>
      <c r="AA48" s="55">
        <f t="shared" si="13"/>
        <v>1.3193112403740312</v>
      </c>
      <c r="AB48" s="12">
        <f>ABS((1/Y48)*(1-EXP((Y48*'Mission Params'!$B$13)/V48)))</f>
        <v>5313333.6847024113</v>
      </c>
      <c r="AC48">
        <f t="shared" si="14"/>
        <v>61.496917647018648</v>
      </c>
      <c r="AD48" t="str">
        <f t="shared" si="7"/>
        <v>64 HET 8047W</v>
      </c>
      <c r="AE48">
        <f t="shared" si="8"/>
        <v>36000</v>
      </c>
      <c r="AF48" s="55">
        <f t="shared" si="15"/>
        <v>62.816228887392683</v>
      </c>
      <c r="AG48" s="55">
        <f t="shared" si="9"/>
        <v>4.751600088765942</v>
      </c>
      <c r="AH48" s="59">
        <f t="shared" si="10"/>
        <v>1350</v>
      </c>
      <c r="AI48" s="65">
        <f t="shared" si="11"/>
        <v>0.51037248468551177</v>
      </c>
      <c r="AJ48" s="59">
        <v>-2000</v>
      </c>
      <c r="AK48" s="64">
        <f>$AH48-'Cost of Sales'!H$15-(I48*Launch_Cost)</f>
        <v>1048.3328286462156</v>
      </c>
      <c r="AL48" s="64">
        <f>$AH48-'Cost of Sales'!I$15-(J48*Launch_Cost)</f>
        <v>1075.0050137111598</v>
      </c>
      <c r="AM48" s="64">
        <f>$AH48-'Cost of Sales'!J$15-(K48*Launch_Cost)</f>
        <v>1049.8661445300183</v>
      </c>
      <c r="AN48" s="64">
        <f>$AH48-'Cost of Sales'!K$15-(L48*Launch_Cost)</f>
        <v>973.67289218880273</v>
      </c>
      <c r="AO48" s="64">
        <f>$AH48-'Cost of Sales'!L$15-(D48*Launch_Cost)</f>
        <v>922.05261351917773</v>
      </c>
      <c r="AP48" s="64">
        <f>$AH48-'Cost of Sales'!M$15-(M48*Launch_Cost)</f>
        <v>1050.302461967482</v>
      </c>
      <c r="AQ48" s="64">
        <f>$AH48-'Cost of Sales'!N$15-(N48*Launch_Cost)</f>
        <v>1041.2062388707091</v>
      </c>
      <c r="AR48" s="64">
        <f>$AH48-'Cost of Sales'!O$15-(O48*Launch_Cost)</f>
        <v>1018.807419767238</v>
      </c>
      <c r="AS48" s="64">
        <f>$AH48-'Cost of Sales'!P$15-(P48*Launch_Cost)</f>
        <v>1022.5119076423867</v>
      </c>
      <c r="AT48" s="64">
        <f>$AH48-'Cost of Sales'!Q$15-(Q48*Launch_Cost)</f>
        <v>1012.6875282135583</v>
      </c>
    </row>
  </sheetData>
  <sortState xmlns:xlrd2="http://schemas.microsoft.com/office/spreadsheetml/2017/richdata2" ref="A2:R49">
    <sortCondition ref="E2:E49"/>
  </sortState>
  <printOptions gridLines="1"/>
  <pageMargins left="0.7" right="0.7" top="0.75" bottom="0.75" header="0.3" footer="0.3"/>
  <pageSetup scale="93" fitToWidth="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395FB-AD6C-4C64-A7B3-752FC34B7259}">
  <dimension ref="A1:S60"/>
  <sheetViews>
    <sheetView workbookViewId="0">
      <selection activeCell="E38" sqref="E38"/>
    </sheetView>
  </sheetViews>
  <sheetFormatPr defaultRowHeight="15" x14ac:dyDescent="0.25"/>
  <cols>
    <col min="1" max="1" width="17.28515625" customWidth="1"/>
    <col min="2" max="2" width="11.140625" customWidth="1"/>
    <col min="3" max="3" width="9.140625" style="6"/>
    <col min="9" max="9" width="10.7109375" customWidth="1"/>
    <col min="10" max="10" width="12.140625" style="15" customWidth="1"/>
    <col min="11" max="11" width="13.7109375" style="6" customWidth="1"/>
    <col min="13" max="13" width="14.42578125" style="6" customWidth="1"/>
    <col min="14" max="16" width="19.5703125" style="6" customWidth="1"/>
    <col min="17" max="17" width="15.7109375" bestFit="1" customWidth="1"/>
    <col min="19" max="19" width="11.140625" customWidth="1"/>
  </cols>
  <sheetData>
    <row r="1" spans="1:19" x14ac:dyDescent="0.25">
      <c r="A1" s="10" t="s">
        <v>4</v>
      </c>
      <c r="B1" s="17" t="s">
        <v>15</v>
      </c>
      <c r="C1" s="20" t="s">
        <v>17</v>
      </c>
      <c r="D1" s="18" t="s">
        <v>1</v>
      </c>
      <c r="E1" s="17" t="s">
        <v>3</v>
      </c>
      <c r="F1" s="17" t="s">
        <v>2</v>
      </c>
      <c r="G1" s="17" t="s">
        <v>0</v>
      </c>
      <c r="H1" s="17" t="s">
        <v>30</v>
      </c>
      <c r="I1" s="17" t="s">
        <v>5</v>
      </c>
      <c r="J1" s="19" t="s">
        <v>23</v>
      </c>
      <c r="K1" s="20" t="s">
        <v>22</v>
      </c>
      <c r="L1" s="17" t="s">
        <v>24</v>
      </c>
      <c r="M1" s="20" t="s">
        <v>18</v>
      </c>
      <c r="N1" s="20" t="s">
        <v>19</v>
      </c>
      <c r="O1" s="20" t="s">
        <v>20</v>
      </c>
      <c r="P1" s="20" t="s">
        <v>21</v>
      </c>
      <c r="Q1" s="17" t="s">
        <v>16</v>
      </c>
      <c r="S1" s="5"/>
    </row>
    <row r="2" spans="1:19" x14ac:dyDescent="0.25">
      <c r="A2" t="s">
        <v>8</v>
      </c>
      <c r="B2" s="3">
        <v>70.007999999999996</v>
      </c>
      <c r="C2" s="29">
        <f t="shared" ref="C2:C10" si="0">E2/B2</f>
        <v>17.349017255170839</v>
      </c>
      <c r="D2" s="4">
        <v>1772.29</v>
      </c>
      <c r="E2" s="4">
        <v>1214.57</v>
      </c>
      <c r="F2" s="4">
        <v>4000</v>
      </c>
      <c r="G2" s="4">
        <f>SUM(D2:F2)</f>
        <v>6986.86</v>
      </c>
      <c r="H2" s="4">
        <f t="shared" ref="H2:H10" si="1">Q2*1.4</f>
        <v>2568.86</v>
      </c>
      <c r="I2" s="4">
        <f>SUM(G2,H2)</f>
        <v>9555.7199999999993</v>
      </c>
      <c r="J2" s="13">
        <f t="shared" ref="J2:J10" si="2">E2/I2</f>
        <v>0.12710397541995788</v>
      </c>
      <c r="K2" s="21">
        <f t="shared" ref="K2:K10" si="3">P2*(1-P2)</f>
        <v>0.16944430097016316</v>
      </c>
      <c r="L2" s="16">
        <f>ABS(J2-K2)</f>
        <v>4.2340325550205282E-2</v>
      </c>
      <c r="M2" s="13">
        <f t="shared" ref="M2:M10" si="4">1/G2 - 1/I2</f>
        <v>3.8476448601710225E-5</v>
      </c>
      <c r="N2" s="21">
        <f t="shared" ref="N2:N10" si="5">SQRT(0.57*E2*M2)</f>
        <v>0.16320978494429228</v>
      </c>
      <c r="O2" s="21">
        <f t="shared" ref="O2:O10" si="6">SQRT(0.6*E2*M2)</f>
        <v>0.16744970620131738</v>
      </c>
      <c r="P2" s="21">
        <f>1-(O2/SQRT(0.6))</f>
        <v>0.78382335885165766</v>
      </c>
      <c r="Q2" s="3">
        <v>1834.9</v>
      </c>
      <c r="S2" s="8"/>
    </row>
    <row r="3" spans="1:19" x14ac:dyDescent="0.25">
      <c r="B3" s="3">
        <v>70.007999999999996</v>
      </c>
      <c r="C3" s="29">
        <f t="shared" si="0"/>
        <v>17.349017255170839</v>
      </c>
      <c r="D3" s="4">
        <v>1772.29</v>
      </c>
      <c r="E3" s="4">
        <v>1214.57</v>
      </c>
      <c r="F3" s="4">
        <v>8000</v>
      </c>
      <c r="G3" s="4">
        <f t="shared" ref="G3:G30" si="7">SUM(D3:F3)</f>
        <v>10986.86</v>
      </c>
      <c r="H3" s="4">
        <f t="shared" si="1"/>
        <v>4039.56</v>
      </c>
      <c r="I3" s="4">
        <f t="shared" ref="I3:I30" si="8">SUM(G3,H3)</f>
        <v>15026.42</v>
      </c>
      <c r="J3" s="13">
        <f t="shared" si="2"/>
        <v>8.082896658019674E-2</v>
      </c>
      <c r="K3" s="21">
        <f t="shared" si="3"/>
        <v>0.14267212478007296</v>
      </c>
      <c r="L3" s="16">
        <f t="shared" ref="L3:L10" si="9">ABS(J3-K3)</f>
        <v>6.1843158199876222E-2</v>
      </c>
      <c r="M3" s="13">
        <f t="shared" si="4"/>
        <v>2.4468364926789399E-5</v>
      </c>
      <c r="N3" s="21">
        <f t="shared" si="5"/>
        <v>0.13015209922934182</v>
      </c>
      <c r="O3" s="21">
        <f t="shared" si="6"/>
        <v>0.13353323628774358</v>
      </c>
      <c r="P3" s="21">
        <f t="shared" ref="P3:P30" si="10">1-(O3/SQRT(0.6))</f>
        <v>0.82760933323079644</v>
      </c>
      <c r="Q3" s="3">
        <v>2885.4</v>
      </c>
      <c r="S3" s="9"/>
    </row>
    <row r="4" spans="1:19" x14ac:dyDescent="0.25">
      <c r="B4" s="3">
        <v>70.007999999999996</v>
      </c>
      <c r="C4" s="29">
        <f t="shared" si="0"/>
        <v>17.349017255170839</v>
      </c>
      <c r="D4" s="4">
        <v>1772.29</v>
      </c>
      <c r="E4" s="4">
        <v>1214.57</v>
      </c>
      <c r="F4" s="4">
        <v>12000</v>
      </c>
      <c r="G4" s="4">
        <f t="shared" si="7"/>
        <v>14986.86</v>
      </c>
      <c r="H4" s="4">
        <f t="shared" si="1"/>
        <v>5510.26</v>
      </c>
      <c r="I4" s="4">
        <f t="shared" si="8"/>
        <v>20497.120000000003</v>
      </c>
      <c r="J4" s="13">
        <f t="shared" si="2"/>
        <v>5.9255641768209376E-2</v>
      </c>
      <c r="K4" s="21">
        <f t="shared" si="3"/>
        <v>0.12581644758339436</v>
      </c>
      <c r="L4" s="16">
        <f t="shared" si="9"/>
        <v>6.6560805815184976E-2</v>
      </c>
      <c r="M4" s="13">
        <f t="shared" si="4"/>
        <v>1.793777603848294E-5</v>
      </c>
      <c r="N4" s="21">
        <f t="shared" si="5"/>
        <v>0.11143792104371082</v>
      </c>
      <c r="O4" s="21">
        <f t="shared" si="6"/>
        <v>0.11433289459222194</v>
      </c>
      <c r="P4" s="21">
        <f t="shared" si="10"/>
        <v>0.8523968677735454</v>
      </c>
      <c r="Q4" s="3">
        <v>3935.9</v>
      </c>
      <c r="S4" s="9"/>
    </row>
    <row r="5" spans="1:19" x14ac:dyDescent="0.25">
      <c r="A5" t="s">
        <v>7</v>
      </c>
      <c r="B5" s="3">
        <v>100.98399999999999</v>
      </c>
      <c r="C5" s="29">
        <f t="shared" si="0"/>
        <v>16.456072249069159</v>
      </c>
      <c r="D5" s="4">
        <v>1779.34</v>
      </c>
      <c r="E5" s="4">
        <v>1661.8</v>
      </c>
      <c r="F5" s="4">
        <v>4000</v>
      </c>
      <c r="G5" s="4">
        <f t="shared" si="7"/>
        <v>7441.1399999999994</v>
      </c>
      <c r="H5" s="4">
        <f t="shared" si="1"/>
        <v>2735.88</v>
      </c>
      <c r="I5" s="4">
        <f t="shared" si="8"/>
        <v>10177.02</v>
      </c>
      <c r="J5" s="13">
        <f t="shared" si="2"/>
        <v>0.16328945015338478</v>
      </c>
      <c r="K5" s="21">
        <f t="shared" si="3"/>
        <v>0.18498701571040813</v>
      </c>
      <c r="L5" s="16">
        <f t="shared" si="9"/>
        <v>2.1697565557023346E-2</v>
      </c>
      <c r="M5" s="13">
        <f t="shared" si="4"/>
        <v>3.6127419421457812E-5</v>
      </c>
      <c r="N5" s="21">
        <f t="shared" si="5"/>
        <v>0.18498873205930624</v>
      </c>
      <c r="O5" s="21">
        <f t="shared" si="6"/>
        <v>0.18979443447252914</v>
      </c>
      <c r="P5" s="21">
        <f t="shared" si="10"/>
        <v>0.7549764386950133</v>
      </c>
      <c r="Q5" s="3">
        <v>1954.2</v>
      </c>
      <c r="S5" s="9"/>
    </row>
    <row r="6" spans="1:19" x14ac:dyDescent="0.25">
      <c r="B6" s="3">
        <v>100.98399999999999</v>
      </c>
      <c r="C6" s="29">
        <f t="shared" si="0"/>
        <v>16.456072249069159</v>
      </c>
      <c r="D6" s="4">
        <v>1646.56</v>
      </c>
      <c r="E6" s="4">
        <v>1661.8</v>
      </c>
      <c r="F6" s="4">
        <v>8000</v>
      </c>
      <c r="G6" s="4">
        <f t="shared" si="7"/>
        <v>11308.36</v>
      </c>
      <c r="H6" s="4">
        <f t="shared" si="1"/>
        <v>4206.58</v>
      </c>
      <c r="I6" s="4">
        <f t="shared" si="8"/>
        <v>15514.94</v>
      </c>
      <c r="J6" s="13">
        <f t="shared" si="2"/>
        <v>0.10710966333095712</v>
      </c>
      <c r="K6" s="21">
        <f t="shared" si="3"/>
        <v>0.15976496316204664</v>
      </c>
      <c r="L6" s="16">
        <f t="shared" si="9"/>
        <v>5.2655299831089519E-2</v>
      </c>
      <c r="M6" s="13">
        <f t="shared" si="4"/>
        <v>2.3976148870352015E-5</v>
      </c>
      <c r="N6" s="21">
        <f t="shared" si="5"/>
        <v>0.15070113333969343</v>
      </c>
      <c r="O6" s="21">
        <f t="shared" si="6"/>
        <v>0.15461610044122373</v>
      </c>
      <c r="P6" s="21">
        <f t="shared" si="10"/>
        <v>0.80039147264520238</v>
      </c>
      <c r="Q6" s="3">
        <v>3004.7</v>
      </c>
      <c r="S6" s="8"/>
    </row>
    <row r="7" spans="1:19" x14ac:dyDescent="0.25">
      <c r="B7" s="3">
        <v>100.98399999999999</v>
      </c>
      <c r="C7" s="29">
        <f t="shared" si="0"/>
        <v>16.456072249069159</v>
      </c>
      <c r="D7" s="4">
        <v>1646.56</v>
      </c>
      <c r="E7" s="4">
        <v>1661.8</v>
      </c>
      <c r="F7" s="4">
        <v>12000</v>
      </c>
      <c r="G7" s="4">
        <f t="shared" si="7"/>
        <v>15308.36</v>
      </c>
      <c r="H7" s="4">
        <f t="shared" si="1"/>
        <v>5677.28</v>
      </c>
      <c r="I7" s="4">
        <f t="shared" si="8"/>
        <v>20985.64</v>
      </c>
      <c r="J7" s="13">
        <f t="shared" si="2"/>
        <v>7.9187482488025152E-2</v>
      </c>
      <c r="K7" s="21">
        <f t="shared" si="3"/>
        <v>0.14200214023588173</v>
      </c>
      <c r="L7" s="16">
        <f t="shared" si="9"/>
        <v>6.2814657747856578E-2</v>
      </c>
      <c r="M7" s="13">
        <f t="shared" si="4"/>
        <v>1.7672151608104342E-5</v>
      </c>
      <c r="N7" s="21">
        <f t="shared" si="5"/>
        <v>0.12938130266440451</v>
      </c>
      <c r="O7" s="21">
        <f t="shared" si="6"/>
        <v>0.13274241569825629</v>
      </c>
      <c r="P7" s="21">
        <f t="shared" si="10"/>
        <v>0.82863027822177049</v>
      </c>
      <c r="Q7" s="3">
        <v>4055.2</v>
      </c>
      <c r="S7" s="8"/>
    </row>
    <row r="8" spans="1:19" x14ac:dyDescent="0.25">
      <c r="A8" s="33" t="s">
        <v>6</v>
      </c>
      <c r="B8" s="7">
        <v>133.96</v>
      </c>
      <c r="C8" s="29">
        <f t="shared" si="0"/>
        <v>16.037025977903852</v>
      </c>
      <c r="D8" s="8">
        <v>1787.56</v>
      </c>
      <c r="E8" s="8">
        <v>2148.3200000000002</v>
      </c>
      <c r="F8" s="8">
        <v>4000</v>
      </c>
      <c r="G8" s="8">
        <f t="shared" si="7"/>
        <v>7935.88</v>
      </c>
      <c r="H8" s="4">
        <f t="shared" si="1"/>
        <v>2917.8799999999997</v>
      </c>
      <c r="I8" s="4">
        <f t="shared" si="8"/>
        <v>10853.76</v>
      </c>
      <c r="J8" s="13">
        <f t="shared" si="2"/>
        <v>0.19793325078129609</v>
      </c>
      <c r="K8" s="21">
        <f t="shared" si="3"/>
        <v>0.19699468891772903</v>
      </c>
      <c r="L8" s="16">
        <f t="shared" si="9"/>
        <v>9.3856186356705562E-4</v>
      </c>
      <c r="M8" s="13">
        <f t="shared" si="4"/>
        <v>3.3875999745484067E-5</v>
      </c>
      <c r="N8" s="21">
        <f t="shared" si="5"/>
        <v>0.20367277194248243</v>
      </c>
      <c r="O8" s="21">
        <f t="shared" si="6"/>
        <v>0.20896385492216352</v>
      </c>
      <c r="P8" s="21">
        <f t="shared" si="10"/>
        <v>0.73022882330905259</v>
      </c>
      <c r="Q8" s="7">
        <v>2084.1999999999998</v>
      </c>
      <c r="S8" s="9"/>
    </row>
    <row r="9" spans="1:19" x14ac:dyDescent="0.25">
      <c r="B9" s="7">
        <v>133.96</v>
      </c>
      <c r="C9" s="29">
        <f t="shared" si="0"/>
        <v>16.037025977903852</v>
      </c>
      <c r="D9" s="8">
        <v>1787.56</v>
      </c>
      <c r="E9" s="8">
        <v>2148.3200000000002</v>
      </c>
      <c r="F9" s="8">
        <v>8000</v>
      </c>
      <c r="G9" s="8">
        <f t="shared" si="7"/>
        <v>11935.880000000001</v>
      </c>
      <c r="H9" s="4">
        <f t="shared" si="1"/>
        <v>4388.579999999999</v>
      </c>
      <c r="I9" s="4">
        <f t="shared" si="8"/>
        <v>16324.46</v>
      </c>
      <c r="J9" s="13">
        <f t="shared" si="2"/>
        <v>0.13160129033364659</v>
      </c>
      <c r="K9" s="21">
        <f t="shared" si="3"/>
        <v>0.17158359816484933</v>
      </c>
      <c r="L9" s="16">
        <f t="shared" si="9"/>
        <v>3.998230783120274E-2</v>
      </c>
      <c r="M9" s="13">
        <f t="shared" si="4"/>
        <v>2.2523234143663904E-5</v>
      </c>
      <c r="N9" s="21">
        <f t="shared" si="5"/>
        <v>0.16607424602882936</v>
      </c>
      <c r="O9" s="21">
        <f t="shared" si="6"/>
        <v>0.17038858126444278</v>
      </c>
      <c r="P9" s="21">
        <f t="shared" si="10"/>
        <v>0.78002928745963462</v>
      </c>
      <c r="Q9" s="7">
        <v>3134.7</v>
      </c>
      <c r="S9" s="9"/>
    </row>
    <row r="10" spans="1:19" x14ac:dyDescent="0.25">
      <c r="B10" s="7">
        <v>133.96</v>
      </c>
      <c r="C10" s="29">
        <f t="shared" si="0"/>
        <v>16.037025977903852</v>
      </c>
      <c r="D10" s="8">
        <v>1787.56</v>
      </c>
      <c r="E10" s="8">
        <v>2148.3200000000002</v>
      </c>
      <c r="F10" s="8">
        <v>12000</v>
      </c>
      <c r="G10" s="8">
        <f t="shared" si="7"/>
        <v>15935.880000000001</v>
      </c>
      <c r="H10" s="4">
        <f t="shared" si="1"/>
        <v>5859.28</v>
      </c>
      <c r="I10" s="4">
        <f t="shared" si="8"/>
        <v>21795.16</v>
      </c>
      <c r="J10" s="13">
        <f t="shared" si="2"/>
        <v>9.8568673044841154E-2</v>
      </c>
      <c r="K10" s="21">
        <f t="shared" si="3"/>
        <v>0.15413063279839243</v>
      </c>
      <c r="L10" s="16">
        <f t="shared" si="9"/>
        <v>5.5561959753551271E-2</v>
      </c>
      <c r="M10" s="13">
        <f t="shared" si="4"/>
        <v>1.686973031968721E-5</v>
      </c>
      <c r="N10" s="21">
        <f t="shared" si="5"/>
        <v>0.14372786804591009</v>
      </c>
      <c r="O10" s="21">
        <f t="shared" si="6"/>
        <v>0.14746168120645531</v>
      </c>
      <c r="P10" s="21">
        <f t="shared" si="10"/>
        <v>0.80962778816121717</v>
      </c>
      <c r="Q10" s="7">
        <v>4185.2</v>
      </c>
      <c r="S10" s="9"/>
    </row>
    <row r="11" spans="1:19" x14ac:dyDescent="0.25">
      <c r="B11" s="4"/>
      <c r="C11" s="29"/>
      <c r="D11" s="4"/>
      <c r="E11" s="4"/>
      <c r="F11" s="4"/>
      <c r="G11" s="4"/>
      <c r="H11" s="4"/>
      <c r="I11" s="4"/>
      <c r="J11" s="13"/>
      <c r="K11" s="21"/>
      <c r="L11" s="3"/>
      <c r="M11" s="13"/>
      <c r="N11" s="21"/>
      <c r="O11" s="21"/>
      <c r="P11" s="21"/>
      <c r="Q11" s="3"/>
      <c r="S11" s="9"/>
    </row>
    <row r="12" spans="1:19" x14ac:dyDescent="0.25">
      <c r="A12" s="6" t="s">
        <v>9</v>
      </c>
      <c r="B12" s="7">
        <v>135.01599999999999</v>
      </c>
      <c r="C12" s="29">
        <f t="shared" ref="C12:C20" si="11">E12/B12</f>
        <v>20.316925401433906</v>
      </c>
      <c r="D12" s="8">
        <v>2499.96</v>
      </c>
      <c r="E12" s="8">
        <v>2743.11</v>
      </c>
      <c r="F12" s="8">
        <v>4000</v>
      </c>
      <c r="G12" s="8">
        <f t="shared" si="7"/>
        <v>9243.07</v>
      </c>
      <c r="H12" s="8">
        <f t="shared" ref="H12:H20" si="12">Q12*1.4</f>
        <v>3398.5</v>
      </c>
      <c r="I12" s="8">
        <f t="shared" si="8"/>
        <v>12641.57</v>
      </c>
      <c r="J12" s="13">
        <f t="shared" ref="J12:J20" si="13">E12/I12</f>
        <v>0.21699124396732369</v>
      </c>
      <c r="K12" s="21">
        <f t="shared" ref="K12:K20" si="14">P12*(1-P12)</f>
        <v>0.20267625391378843</v>
      </c>
      <c r="L12" s="16">
        <f t="shared" ref="L12:L30" si="15">ABS(J12-K12)</f>
        <v>1.4314990053535259E-2</v>
      </c>
      <c r="M12" s="13">
        <f t="shared" ref="M12:M20" si="16">1/G12 - 1/I12</f>
        <v>2.9085063638198061E-5</v>
      </c>
      <c r="N12" s="21">
        <f t="shared" ref="N12:N20" si="17">SQRT(0.57*E12*M12)</f>
        <v>0.21325245949917943</v>
      </c>
      <c r="O12" s="21">
        <f t="shared" ref="O12:O20" si="18">SQRT(0.6*E12*M12)</f>
        <v>0.21879240697507418</v>
      </c>
      <c r="P12" s="21">
        <f t="shared" si="10"/>
        <v>0.71754021716963412</v>
      </c>
      <c r="Q12" s="7">
        <v>2427.5</v>
      </c>
      <c r="S12" s="9"/>
    </row>
    <row r="13" spans="1:19" x14ac:dyDescent="0.25">
      <c r="B13" s="7">
        <v>135.01599999999999</v>
      </c>
      <c r="C13" s="29">
        <f t="shared" si="11"/>
        <v>20.316925401433906</v>
      </c>
      <c r="D13" s="8">
        <v>2499.96</v>
      </c>
      <c r="E13" s="8">
        <v>2743.11</v>
      </c>
      <c r="F13" s="8">
        <v>8000</v>
      </c>
      <c r="G13" s="8">
        <f t="shared" si="7"/>
        <v>13243.07</v>
      </c>
      <c r="H13" s="8">
        <f t="shared" si="12"/>
        <v>4869.2</v>
      </c>
      <c r="I13" s="8">
        <f t="shared" si="8"/>
        <v>18112.27</v>
      </c>
      <c r="J13" s="13">
        <f t="shared" si="13"/>
        <v>0.15145037038427542</v>
      </c>
      <c r="K13" s="21">
        <f t="shared" si="14"/>
        <v>0.18029184503848453</v>
      </c>
      <c r="L13" s="16">
        <f t="shared" si="15"/>
        <v>2.8841474654209109E-2</v>
      </c>
      <c r="M13" s="13">
        <f t="shared" si="16"/>
        <v>2.0300000803717477E-5</v>
      </c>
      <c r="N13" s="21">
        <f t="shared" si="17"/>
        <v>0.17815871313710901</v>
      </c>
      <c r="O13" s="21">
        <f t="shared" si="18"/>
        <v>0.18278698291402282</v>
      </c>
      <c r="P13" s="21">
        <f t="shared" si="10"/>
        <v>0.76402301975683007</v>
      </c>
      <c r="Q13" s="3">
        <v>3478</v>
      </c>
    </row>
    <row r="14" spans="1:19" x14ac:dyDescent="0.25">
      <c r="B14" s="7">
        <v>135.01599999999999</v>
      </c>
      <c r="C14" s="29">
        <f t="shared" si="11"/>
        <v>20.316925401433906</v>
      </c>
      <c r="D14" s="8">
        <v>2499.96</v>
      </c>
      <c r="E14" s="8">
        <v>2743.11</v>
      </c>
      <c r="F14" s="8">
        <v>12000</v>
      </c>
      <c r="G14" s="8">
        <f t="shared" si="7"/>
        <v>17243.07</v>
      </c>
      <c r="H14" s="8">
        <f t="shared" si="12"/>
        <v>6339.9</v>
      </c>
      <c r="I14" s="8">
        <f t="shared" si="8"/>
        <v>23582.97</v>
      </c>
      <c r="J14" s="13">
        <f t="shared" si="13"/>
        <v>0.11631741040250655</v>
      </c>
      <c r="K14" s="21">
        <f t="shared" si="14"/>
        <v>0.16403536172725502</v>
      </c>
      <c r="L14" s="16">
        <f t="shared" si="15"/>
        <v>4.7717951324748473E-2</v>
      </c>
      <c r="M14" s="13">
        <f t="shared" si="16"/>
        <v>1.5590832939237682E-5</v>
      </c>
      <c r="N14" s="21">
        <f t="shared" si="17"/>
        <v>0.15613263833693708</v>
      </c>
      <c r="O14" s="21">
        <f t="shared" si="18"/>
        <v>0.16018870698763807</v>
      </c>
      <c r="P14" s="21">
        <f t="shared" si="10"/>
        <v>0.79319726852879269</v>
      </c>
      <c r="Q14" s="3">
        <v>4528.5</v>
      </c>
    </row>
    <row r="15" spans="1:19" x14ac:dyDescent="0.25">
      <c r="A15" s="6" t="s">
        <v>10</v>
      </c>
      <c r="B15" s="7">
        <v>196.96799999999999</v>
      </c>
      <c r="C15" s="29">
        <f t="shared" si="11"/>
        <v>19.504081881320825</v>
      </c>
      <c r="D15" s="8">
        <v>2514.06</v>
      </c>
      <c r="E15" s="8">
        <v>3841.68</v>
      </c>
      <c r="F15" s="8">
        <v>4000</v>
      </c>
      <c r="G15" s="8">
        <f t="shared" si="7"/>
        <v>10355.74</v>
      </c>
      <c r="H15" s="8">
        <f t="shared" si="12"/>
        <v>3807.5799999999995</v>
      </c>
      <c r="I15" s="8">
        <f t="shared" si="8"/>
        <v>14163.32</v>
      </c>
      <c r="J15" s="13">
        <f t="shared" si="13"/>
        <v>0.27124148857753688</v>
      </c>
      <c r="K15" s="21">
        <f t="shared" si="14"/>
        <v>0.21607032873683346</v>
      </c>
      <c r="L15" s="16">
        <f t="shared" si="15"/>
        <v>5.5171159840703421E-2</v>
      </c>
      <c r="M15" s="13">
        <f t="shared" si="16"/>
        <v>2.5959889007197515E-5</v>
      </c>
      <c r="N15" s="21">
        <f t="shared" si="17"/>
        <v>0.23842370739644833</v>
      </c>
      <c r="O15" s="21">
        <f t="shared" si="18"/>
        <v>0.24461756241264102</v>
      </c>
      <c r="P15" s="21">
        <f t="shared" si="10"/>
        <v>0.68420008486199602</v>
      </c>
      <c r="Q15" s="7">
        <v>2719.7</v>
      </c>
    </row>
    <row r="16" spans="1:19" x14ac:dyDescent="0.25">
      <c r="B16" s="7">
        <v>196.96799999999999</v>
      </c>
      <c r="C16" s="29">
        <f t="shared" si="11"/>
        <v>19.504081881320825</v>
      </c>
      <c r="D16" s="8">
        <v>2514.06</v>
      </c>
      <c r="E16" s="8">
        <v>3841.68</v>
      </c>
      <c r="F16" s="8">
        <v>8000</v>
      </c>
      <c r="G16" s="8">
        <f t="shared" si="7"/>
        <v>14355.74</v>
      </c>
      <c r="H16" s="8">
        <f t="shared" si="12"/>
        <v>5278.28</v>
      </c>
      <c r="I16" s="8">
        <f t="shared" si="8"/>
        <v>19634.02</v>
      </c>
      <c r="J16" s="13">
        <f t="shared" si="13"/>
        <v>0.19566446402723434</v>
      </c>
      <c r="K16" s="21">
        <f t="shared" si="14"/>
        <v>0.19627752799259834</v>
      </c>
      <c r="L16" s="16">
        <f t="shared" si="15"/>
        <v>6.1306396536400798E-4</v>
      </c>
      <c r="M16" s="13">
        <f t="shared" si="16"/>
        <v>1.8726542975721531E-5</v>
      </c>
      <c r="N16" s="21">
        <f t="shared" si="17"/>
        <v>0.20250083901755281</v>
      </c>
      <c r="O16" s="21">
        <f t="shared" si="18"/>
        <v>0.20776147711108989</v>
      </c>
      <c r="P16" s="21">
        <f t="shared" si="10"/>
        <v>0.73178108638843176</v>
      </c>
      <c r="Q16" s="7">
        <v>3770.2</v>
      </c>
    </row>
    <row r="17" spans="1:17" x14ac:dyDescent="0.25">
      <c r="B17" s="7">
        <v>196.96799999999999</v>
      </c>
      <c r="C17" s="29">
        <f t="shared" si="11"/>
        <v>19.504081881320825</v>
      </c>
      <c r="D17" s="8">
        <v>2514.06</v>
      </c>
      <c r="E17" s="8">
        <v>3841.68</v>
      </c>
      <c r="F17" s="8">
        <v>12000</v>
      </c>
      <c r="G17" s="8">
        <f t="shared" si="7"/>
        <v>18355.739999999998</v>
      </c>
      <c r="H17" s="8">
        <f t="shared" si="12"/>
        <v>6748.98</v>
      </c>
      <c r="I17" s="8">
        <f t="shared" si="8"/>
        <v>25104.719999999998</v>
      </c>
      <c r="J17" s="13">
        <f t="shared" si="13"/>
        <v>0.15302620383736604</v>
      </c>
      <c r="K17" s="21">
        <f t="shared" si="14"/>
        <v>0.18093654452704319</v>
      </c>
      <c r="L17" s="16">
        <f t="shared" si="15"/>
        <v>2.7910340689677154E-2</v>
      </c>
      <c r="M17" s="13">
        <f t="shared" si="16"/>
        <v>1.4645724545076171E-5</v>
      </c>
      <c r="N17" s="21">
        <f t="shared" si="17"/>
        <v>0.17908262514852491</v>
      </c>
      <c r="O17" s="21">
        <f t="shared" si="18"/>
        <v>0.18373489663696696</v>
      </c>
      <c r="P17" s="21">
        <f t="shared" si="10"/>
        <v>0.76279926840262857</v>
      </c>
      <c r="Q17" s="7">
        <v>4820.7</v>
      </c>
    </row>
    <row r="18" spans="1:17" x14ac:dyDescent="0.25">
      <c r="A18" s="6" t="s">
        <v>11</v>
      </c>
      <c r="B18" s="7">
        <v>262.92</v>
      </c>
      <c r="C18" s="29">
        <f t="shared" si="11"/>
        <v>19.088810284497185</v>
      </c>
      <c r="D18" s="8">
        <v>2529.34</v>
      </c>
      <c r="E18" s="8">
        <v>5018.83</v>
      </c>
      <c r="F18" s="8">
        <v>4000</v>
      </c>
      <c r="G18" s="8">
        <f t="shared" si="7"/>
        <v>11548.17</v>
      </c>
      <c r="H18" s="8">
        <f t="shared" si="12"/>
        <v>9800</v>
      </c>
      <c r="I18" s="8">
        <f t="shared" si="8"/>
        <v>21348.17</v>
      </c>
      <c r="J18" s="13">
        <f t="shared" si="13"/>
        <v>0.2350941556114646</v>
      </c>
      <c r="K18" s="21">
        <f t="shared" si="14"/>
        <v>0.24715487823821358</v>
      </c>
      <c r="L18" s="16">
        <f t="shared" si="15"/>
        <v>1.2060722626748982E-2</v>
      </c>
      <c r="M18" s="13">
        <f t="shared" si="16"/>
        <v>3.9751384078825675E-5</v>
      </c>
      <c r="N18" s="21">
        <f t="shared" si="17"/>
        <v>0.33722114436243411</v>
      </c>
      <c r="O18" s="21">
        <f t="shared" si="18"/>
        <v>0.34598159398123995</v>
      </c>
      <c r="P18" s="21">
        <f t="shared" si="10"/>
        <v>0.55333968280545376</v>
      </c>
      <c r="Q18" s="7">
        <v>7000</v>
      </c>
    </row>
    <row r="19" spans="1:17" x14ac:dyDescent="0.25">
      <c r="B19" s="7">
        <v>262.92</v>
      </c>
      <c r="C19" s="29">
        <f t="shared" si="11"/>
        <v>19.088810284497185</v>
      </c>
      <c r="D19" s="8">
        <v>2529.34</v>
      </c>
      <c r="E19" s="8">
        <v>5018.83</v>
      </c>
      <c r="F19" s="8">
        <v>8000</v>
      </c>
      <c r="G19" s="8">
        <f t="shared" si="7"/>
        <v>15548.17</v>
      </c>
      <c r="H19" s="8">
        <f t="shared" si="12"/>
        <v>9800</v>
      </c>
      <c r="I19" s="8">
        <f t="shared" si="8"/>
        <v>25348.17</v>
      </c>
      <c r="J19" s="13">
        <f t="shared" si="13"/>
        <v>0.19799575275059306</v>
      </c>
      <c r="K19" s="21">
        <f t="shared" si="14"/>
        <v>0.22846901241779663</v>
      </c>
      <c r="L19" s="16">
        <f t="shared" si="15"/>
        <v>3.0473259667203573E-2</v>
      </c>
      <c r="M19" s="13">
        <f t="shared" si="16"/>
        <v>2.4865671055661525E-5</v>
      </c>
      <c r="N19" s="21">
        <f t="shared" si="17"/>
        <v>0.26670967032082443</v>
      </c>
      <c r="O19" s="21">
        <f t="shared" si="18"/>
        <v>0.27363834804093418</v>
      </c>
      <c r="P19" s="21">
        <f t="shared" si="10"/>
        <v>0.64673441171791768</v>
      </c>
      <c r="Q19" s="7">
        <v>7000</v>
      </c>
    </row>
    <row r="20" spans="1:17" x14ac:dyDescent="0.25">
      <c r="B20" s="7">
        <v>262.92</v>
      </c>
      <c r="C20" s="29">
        <f t="shared" si="11"/>
        <v>19.088810284497185</v>
      </c>
      <c r="D20" s="8">
        <v>2529.34</v>
      </c>
      <c r="E20" s="8">
        <v>5018.83</v>
      </c>
      <c r="F20" s="8">
        <v>12000</v>
      </c>
      <c r="G20" s="8">
        <f t="shared" si="7"/>
        <v>19548.169999999998</v>
      </c>
      <c r="H20" s="8">
        <f t="shared" si="12"/>
        <v>9800</v>
      </c>
      <c r="I20" s="8">
        <f t="shared" si="8"/>
        <v>29348.17</v>
      </c>
      <c r="J20" s="13">
        <f t="shared" si="13"/>
        <v>0.17100998120155364</v>
      </c>
      <c r="K20" s="21">
        <f t="shared" si="14"/>
        <v>0.20706805983511328</v>
      </c>
      <c r="L20" s="16">
        <f t="shared" si="15"/>
        <v>3.6058078633559643E-2</v>
      </c>
      <c r="M20" s="13">
        <f t="shared" si="16"/>
        <v>1.7082008845566346E-5</v>
      </c>
      <c r="N20" s="21">
        <f t="shared" si="17"/>
        <v>0.22105896977730724</v>
      </c>
      <c r="O20" s="21">
        <f t="shared" si="18"/>
        <v>0.22680171752576356</v>
      </c>
      <c r="P20" s="21">
        <f t="shared" si="10"/>
        <v>0.707200241710493</v>
      </c>
      <c r="Q20" s="7">
        <v>7000</v>
      </c>
    </row>
    <row r="21" spans="1:17" s="6" customFormat="1" x14ac:dyDescent="0.25">
      <c r="B21" s="8"/>
      <c r="C21" s="29"/>
      <c r="D21" s="8"/>
      <c r="E21" s="8"/>
      <c r="F21" s="8"/>
      <c r="G21" s="8"/>
      <c r="H21" s="8"/>
      <c r="I21" s="8"/>
      <c r="J21" s="13"/>
      <c r="K21" s="21"/>
      <c r="L21" s="7"/>
      <c r="M21" s="13"/>
      <c r="N21" s="21"/>
      <c r="O21" s="21"/>
      <c r="P21" s="21"/>
      <c r="Q21" s="7"/>
    </row>
    <row r="22" spans="1:17" x14ac:dyDescent="0.25">
      <c r="A22" s="23" t="s">
        <v>12</v>
      </c>
      <c r="B22" s="7">
        <v>265.03199999999998</v>
      </c>
      <c r="C22" s="29">
        <f t="shared" ref="C22:C30" si="19">E22/B22</f>
        <v>26.890639620875973</v>
      </c>
      <c r="D22" s="8">
        <v>3955.31</v>
      </c>
      <c r="E22" s="8">
        <v>7126.88</v>
      </c>
      <c r="F22" s="8">
        <v>4000</v>
      </c>
      <c r="G22" s="8">
        <f t="shared" si="7"/>
        <v>15082.19</v>
      </c>
      <c r="H22" s="8">
        <f t="shared" ref="H22:H30" si="20">Q22*1.4</f>
        <v>18060</v>
      </c>
      <c r="I22" s="8">
        <f t="shared" si="8"/>
        <v>33142.19</v>
      </c>
      <c r="J22" s="13">
        <f t="shared" ref="J22:J30" si="21">E22/I22</f>
        <v>0.21503950101064534</v>
      </c>
      <c r="K22" s="21">
        <f t="shared" ref="K22:K30" si="22">P22*(1-P22)</f>
        <v>0.24994462740188836</v>
      </c>
      <c r="L22" s="16">
        <f t="shared" si="15"/>
        <v>3.4905126391243019E-2</v>
      </c>
      <c r="M22" s="13">
        <f t="shared" ref="M22:M30" si="23">1/G22 - 1/I22</f>
        <v>3.6130347254815013E-5</v>
      </c>
      <c r="N22" s="21">
        <f t="shared" ref="N22:N30" si="24">SQRT(0.57*E22*M22)</f>
        <v>0.3831097624294319</v>
      </c>
      <c r="O22" s="21">
        <f t="shared" ref="O22:O30" si="25">SQRT(0.6*E22*M22)</f>
        <v>0.3930623227250834</v>
      </c>
      <c r="P22" s="21">
        <f t="shared" si="10"/>
        <v>0.49255872335471562</v>
      </c>
      <c r="Q22" s="7">
        <v>12900</v>
      </c>
    </row>
    <row r="23" spans="1:17" x14ac:dyDescent="0.25">
      <c r="B23" s="7">
        <v>265.03199999999998</v>
      </c>
      <c r="C23" s="29">
        <f t="shared" si="19"/>
        <v>26.890639620875973</v>
      </c>
      <c r="D23" s="8">
        <v>3955.31</v>
      </c>
      <c r="E23" s="8">
        <v>7126.88</v>
      </c>
      <c r="F23" s="8">
        <v>12000</v>
      </c>
      <c r="G23" s="8">
        <f t="shared" si="7"/>
        <v>23082.190000000002</v>
      </c>
      <c r="H23" s="8">
        <f t="shared" si="20"/>
        <v>18060</v>
      </c>
      <c r="I23" s="8">
        <f t="shared" si="8"/>
        <v>41142.19</v>
      </c>
      <c r="J23" s="13">
        <f t="shared" si="21"/>
        <v>0.17322558667878399</v>
      </c>
      <c r="K23" s="21">
        <f t="shared" si="22"/>
        <v>0.23261593131910099</v>
      </c>
      <c r="L23" s="16">
        <f t="shared" si="15"/>
        <v>5.9390344640317005E-2</v>
      </c>
      <c r="M23" s="13">
        <f t="shared" si="23"/>
        <v>1.9017495795678863E-5</v>
      </c>
      <c r="N23" s="21">
        <f t="shared" si="24"/>
        <v>0.27794816773761155</v>
      </c>
      <c r="O23" s="21">
        <f t="shared" si="25"/>
        <v>0.28516880310052267</v>
      </c>
      <c r="P23" s="21">
        <f t="shared" si="10"/>
        <v>0.63184865824459124</v>
      </c>
      <c r="Q23" s="7">
        <v>12900</v>
      </c>
    </row>
    <row r="24" spans="1:17" x14ac:dyDescent="0.25">
      <c r="B24" s="7">
        <v>265.03199999999998</v>
      </c>
      <c r="C24" s="29">
        <f t="shared" si="19"/>
        <v>26.890639620875973</v>
      </c>
      <c r="D24" s="8">
        <v>3955.31</v>
      </c>
      <c r="E24" s="8">
        <v>7126.88</v>
      </c>
      <c r="F24" s="8">
        <v>20000</v>
      </c>
      <c r="G24" s="8">
        <f t="shared" si="7"/>
        <v>31082.190000000002</v>
      </c>
      <c r="H24" s="8">
        <f t="shared" si="20"/>
        <v>18060</v>
      </c>
      <c r="I24" s="8">
        <f t="shared" si="8"/>
        <v>49142.19</v>
      </c>
      <c r="J24" s="13">
        <f t="shared" si="21"/>
        <v>0.145025689738288</v>
      </c>
      <c r="K24" s="21">
        <f t="shared" si="22"/>
        <v>0.20601988297853341</v>
      </c>
      <c r="L24" s="16">
        <f t="shared" si="15"/>
        <v>6.0994193240245409E-2</v>
      </c>
      <c r="M24" s="13">
        <f t="shared" si="23"/>
        <v>1.1823651714821017E-5</v>
      </c>
      <c r="N24" s="21">
        <f t="shared" si="24"/>
        <v>0.21916084447727988</v>
      </c>
      <c r="O24" s="21">
        <f t="shared" si="25"/>
        <v>0.22485428205839034</v>
      </c>
      <c r="P24" s="21">
        <f t="shared" si="10"/>
        <v>0.70971437008814298</v>
      </c>
      <c r="Q24" s="7">
        <v>12900</v>
      </c>
    </row>
    <row r="25" spans="1:17" x14ac:dyDescent="0.25">
      <c r="A25" t="s">
        <v>13</v>
      </c>
      <c r="B25" s="7">
        <v>388.93599999999998</v>
      </c>
      <c r="C25" s="29">
        <f t="shared" si="19"/>
        <v>26.072207252607114</v>
      </c>
      <c r="D25" s="8">
        <v>3983.51</v>
      </c>
      <c r="E25" s="8">
        <v>10140.42</v>
      </c>
      <c r="F25" s="8">
        <v>16000</v>
      </c>
      <c r="G25" s="8">
        <f t="shared" si="7"/>
        <v>30123.93</v>
      </c>
      <c r="H25" s="8">
        <f t="shared" si="20"/>
        <v>17500</v>
      </c>
      <c r="I25" s="8">
        <f t="shared" si="8"/>
        <v>47623.93</v>
      </c>
      <c r="J25" s="13">
        <f t="shared" si="21"/>
        <v>0.21292698859585926</v>
      </c>
      <c r="K25" s="21">
        <f t="shared" si="22"/>
        <v>0.22800859848920405</v>
      </c>
      <c r="L25" s="16">
        <f t="shared" si="15"/>
        <v>1.5081609893344783E-2</v>
      </c>
      <c r="M25" s="13">
        <f t="shared" si="23"/>
        <v>1.2198352741090264E-5</v>
      </c>
      <c r="N25" s="21">
        <f t="shared" si="24"/>
        <v>0.26553146604235012</v>
      </c>
      <c r="O25" s="21">
        <f t="shared" si="25"/>
        <v>0.2724295359568854</v>
      </c>
      <c r="P25" s="21">
        <f t="shared" si="10"/>
        <v>0.64829498140798947</v>
      </c>
      <c r="Q25" s="7">
        <v>12500</v>
      </c>
    </row>
    <row r="26" spans="1:17" x14ac:dyDescent="0.25">
      <c r="B26" s="7">
        <v>388.93599999999998</v>
      </c>
      <c r="C26" s="29">
        <f t="shared" si="19"/>
        <v>26.072207252607114</v>
      </c>
      <c r="D26" s="8">
        <v>3983.51</v>
      </c>
      <c r="E26" s="8">
        <v>10140.42</v>
      </c>
      <c r="F26" s="8">
        <v>20000</v>
      </c>
      <c r="G26" s="8">
        <f t="shared" si="7"/>
        <v>34123.93</v>
      </c>
      <c r="H26" s="8">
        <f t="shared" si="20"/>
        <v>17500</v>
      </c>
      <c r="I26" s="8">
        <f t="shared" si="8"/>
        <v>51623.93</v>
      </c>
      <c r="J26" s="13">
        <f t="shared" si="21"/>
        <v>0.19642867174196152</v>
      </c>
      <c r="K26" s="21">
        <f t="shared" si="22"/>
        <v>0.21665324192865515</v>
      </c>
      <c r="L26" s="16">
        <f t="shared" si="15"/>
        <v>2.022457018669363E-2</v>
      </c>
      <c r="M26" s="13">
        <f t="shared" si="23"/>
        <v>9.9340866333028096E-6</v>
      </c>
      <c r="N26" s="21">
        <f t="shared" si="24"/>
        <v>0.23962347995032454</v>
      </c>
      <c r="O26" s="21">
        <f t="shared" si="25"/>
        <v>0.24584850308034395</v>
      </c>
      <c r="P26" s="21">
        <f t="shared" si="10"/>
        <v>0.68261094729326843</v>
      </c>
      <c r="Q26" s="7">
        <v>12500</v>
      </c>
    </row>
    <row r="27" spans="1:17" x14ac:dyDescent="0.25">
      <c r="B27" s="7">
        <v>388.93599999999998</v>
      </c>
      <c r="C27" s="29">
        <f t="shared" si="19"/>
        <v>26.072207252607114</v>
      </c>
      <c r="D27" s="8">
        <v>3983.51</v>
      </c>
      <c r="E27" s="8">
        <v>10140.42</v>
      </c>
      <c r="F27" s="8">
        <v>30000</v>
      </c>
      <c r="G27" s="8">
        <f t="shared" si="7"/>
        <v>44123.93</v>
      </c>
      <c r="H27" s="8">
        <f t="shared" si="20"/>
        <v>17500</v>
      </c>
      <c r="I27" s="8">
        <f t="shared" si="8"/>
        <v>61623.93</v>
      </c>
      <c r="J27" s="13">
        <f t="shared" si="21"/>
        <v>0.16455328311582854</v>
      </c>
      <c r="K27" s="21">
        <f t="shared" si="22"/>
        <v>0.19020372660250021</v>
      </c>
      <c r="L27" s="16">
        <f t="shared" si="15"/>
        <v>2.565044348667167E-2</v>
      </c>
      <c r="M27" s="13">
        <f t="shared" si="23"/>
        <v>6.435976804600366E-6</v>
      </c>
      <c r="N27" s="21">
        <f t="shared" si="24"/>
        <v>0.19287353241976002</v>
      </c>
      <c r="O27" s="21">
        <f t="shared" si="25"/>
        <v>0.19788406895286792</v>
      </c>
      <c r="P27" s="21">
        <f t="shared" si="10"/>
        <v>0.74453276548859415</v>
      </c>
      <c r="Q27" s="7">
        <v>12500</v>
      </c>
    </row>
    <row r="28" spans="1:17" x14ac:dyDescent="0.25">
      <c r="A28" t="s">
        <v>14</v>
      </c>
      <c r="B28" s="7">
        <v>520.84</v>
      </c>
      <c r="C28" s="29">
        <f t="shared" si="19"/>
        <v>25.818331925351352</v>
      </c>
      <c r="D28" s="8">
        <v>4015.24</v>
      </c>
      <c r="E28" s="8">
        <v>13447.22</v>
      </c>
      <c r="F28" s="8">
        <v>16000</v>
      </c>
      <c r="G28" s="8">
        <f t="shared" si="7"/>
        <v>33462.46</v>
      </c>
      <c r="H28" s="8">
        <f t="shared" si="20"/>
        <v>26460</v>
      </c>
      <c r="I28" s="8">
        <f t="shared" si="8"/>
        <v>59922.46</v>
      </c>
      <c r="J28" s="13">
        <f t="shared" si="21"/>
        <v>0.22441034630420714</v>
      </c>
      <c r="K28" s="21">
        <f t="shared" si="22"/>
        <v>0.24379805732662924</v>
      </c>
      <c r="L28" s="16">
        <f t="shared" si="15"/>
        <v>1.9387711022422094E-2</v>
      </c>
      <c r="M28" s="13">
        <f t="shared" si="23"/>
        <v>1.3196001025578782E-5</v>
      </c>
      <c r="N28" s="21">
        <f t="shared" si="24"/>
        <v>0.31803495323529235</v>
      </c>
      <c r="O28" s="21">
        <f t="shared" si="25"/>
        <v>0.32629697722582429</v>
      </c>
      <c r="P28" s="21">
        <f t="shared" si="10"/>
        <v>0.57875241376218733</v>
      </c>
      <c r="Q28" s="7">
        <v>18900</v>
      </c>
    </row>
    <row r="29" spans="1:17" x14ac:dyDescent="0.25">
      <c r="B29" s="7">
        <v>520.84</v>
      </c>
      <c r="C29" s="29">
        <f t="shared" si="19"/>
        <v>25.818331925351352</v>
      </c>
      <c r="D29" s="8">
        <v>4015.24</v>
      </c>
      <c r="E29" s="8">
        <v>13447.22</v>
      </c>
      <c r="F29" s="8">
        <v>20000</v>
      </c>
      <c r="G29" s="8">
        <f t="shared" si="7"/>
        <v>37462.46</v>
      </c>
      <c r="H29" s="4">
        <f t="shared" si="20"/>
        <v>26460</v>
      </c>
      <c r="I29" s="8">
        <f t="shared" si="8"/>
        <v>63922.46</v>
      </c>
      <c r="J29" s="13">
        <f t="shared" si="21"/>
        <v>0.21036768609969014</v>
      </c>
      <c r="K29" s="21">
        <f t="shared" si="22"/>
        <v>0.23688200587679756</v>
      </c>
      <c r="L29" s="16">
        <f t="shared" si="15"/>
        <v>2.6514319777107415E-2</v>
      </c>
      <c r="M29" s="13">
        <f t="shared" si="23"/>
        <v>1.1049434900575675E-5</v>
      </c>
      <c r="N29" s="21">
        <f t="shared" si="24"/>
        <v>0.29102058987418733</v>
      </c>
      <c r="O29" s="21">
        <f t="shared" si="25"/>
        <v>0.29858082522196822</v>
      </c>
      <c r="P29" s="21">
        <f t="shared" si="10"/>
        <v>0.61453381213948322</v>
      </c>
      <c r="Q29" s="7">
        <v>18900</v>
      </c>
    </row>
    <row r="30" spans="1:17" x14ac:dyDescent="0.25">
      <c r="B30" s="7">
        <v>520.84</v>
      </c>
      <c r="C30" s="29">
        <f t="shared" si="19"/>
        <v>25.818331925351352</v>
      </c>
      <c r="D30" s="8">
        <v>4015.24</v>
      </c>
      <c r="E30" s="8">
        <v>13447.22</v>
      </c>
      <c r="F30" s="8">
        <v>30000</v>
      </c>
      <c r="G30" s="8">
        <f t="shared" si="7"/>
        <v>47462.46</v>
      </c>
      <c r="H30" s="4">
        <f t="shared" si="20"/>
        <v>26460</v>
      </c>
      <c r="I30" s="8">
        <f t="shared" si="8"/>
        <v>73922.459999999992</v>
      </c>
      <c r="J30" s="13">
        <f t="shared" si="21"/>
        <v>0.18190980116192021</v>
      </c>
      <c r="K30" s="21">
        <f t="shared" si="22"/>
        <v>0.21704135317261797</v>
      </c>
      <c r="L30" s="16">
        <f t="shared" si="15"/>
        <v>3.5131552010697759E-2</v>
      </c>
      <c r="M30" s="13">
        <f t="shared" si="23"/>
        <v>7.5415946287365251E-6</v>
      </c>
      <c r="N30" s="21">
        <f t="shared" si="24"/>
        <v>0.24042812815966411</v>
      </c>
      <c r="O30" s="21">
        <f t="shared" si="25"/>
        <v>0.24667405472417042</v>
      </c>
      <c r="P30" s="21">
        <f t="shared" si="10"/>
        <v>0.68154516470394366</v>
      </c>
      <c r="Q30" s="7">
        <v>18900</v>
      </c>
    </row>
    <row r="31" spans="1:17" x14ac:dyDescent="0.25">
      <c r="B31" s="7"/>
    </row>
    <row r="32" spans="1:17" x14ac:dyDescent="0.25">
      <c r="A32" s="10"/>
      <c r="B32" s="17"/>
      <c r="C32" s="20"/>
      <c r="D32" s="18"/>
      <c r="E32" s="17"/>
      <c r="F32" s="17"/>
      <c r="G32" s="17"/>
      <c r="H32" s="17"/>
      <c r="I32" s="17"/>
      <c r="J32" s="19"/>
      <c r="K32" s="20"/>
      <c r="L32" s="17"/>
      <c r="M32" s="20"/>
      <c r="N32" s="20"/>
      <c r="O32" s="20"/>
      <c r="P32" s="20"/>
      <c r="Q32" s="17"/>
    </row>
    <row r="33" spans="2:17" s="23" customFormat="1" x14ac:dyDescent="0.25">
      <c r="B33" s="31"/>
      <c r="C33" s="29"/>
      <c r="D33" s="1"/>
      <c r="E33" s="26"/>
      <c r="F33" s="30"/>
      <c r="G33" s="4"/>
      <c r="H33" s="32"/>
      <c r="I33" s="26"/>
      <c r="J33" s="28"/>
      <c r="K33" s="27"/>
      <c r="L33" s="26"/>
      <c r="M33" s="27"/>
      <c r="N33" s="27"/>
      <c r="O33" s="27"/>
      <c r="P33" s="27"/>
      <c r="Q33" s="26"/>
    </row>
    <row r="34" spans="2:17" s="23" customFormat="1" x14ac:dyDescent="0.25">
      <c r="B34" s="31"/>
      <c r="C34" s="29"/>
      <c r="D34" s="1"/>
      <c r="E34" s="26"/>
      <c r="F34" s="30"/>
      <c r="G34" s="4"/>
      <c r="H34" s="32"/>
      <c r="I34" s="26"/>
      <c r="J34" s="28"/>
      <c r="K34" s="27"/>
      <c r="L34" s="26"/>
      <c r="M34" s="27"/>
      <c r="N34" s="27"/>
      <c r="O34" s="27"/>
      <c r="P34" s="27"/>
      <c r="Q34" s="26"/>
    </row>
    <row r="35" spans="2:17" s="23" customFormat="1" x14ac:dyDescent="0.25">
      <c r="B35" s="31"/>
      <c r="C35" s="29"/>
      <c r="D35" s="1"/>
      <c r="E35" s="26"/>
      <c r="F35" s="30"/>
      <c r="G35" s="4"/>
      <c r="H35" s="26"/>
      <c r="I35" s="26"/>
      <c r="J35" s="28"/>
      <c r="K35" s="27"/>
      <c r="L35" s="26"/>
      <c r="M35" s="27"/>
      <c r="N35" s="27"/>
      <c r="O35" s="27"/>
      <c r="P35" s="27"/>
      <c r="Q35" s="26"/>
    </row>
    <row r="36" spans="2:17" s="23" customFormat="1" x14ac:dyDescent="0.25">
      <c r="B36" s="26"/>
      <c r="C36" s="27"/>
      <c r="D36" s="1"/>
      <c r="E36" s="26"/>
      <c r="F36" s="30"/>
      <c r="G36" s="4"/>
      <c r="H36" s="26"/>
      <c r="I36" s="26"/>
      <c r="J36" s="28"/>
      <c r="K36" s="27"/>
      <c r="L36" s="26"/>
      <c r="M36" s="27"/>
      <c r="N36" s="27"/>
      <c r="O36" s="27"/>
      <c r="P36" s="27"/>
      <c r="Q36" s="26"/>
    </row>
    <row r="37" spans="2:17" s="23" customFormat="1" x14ac:dyDescent="0.25">
      <c r="B37" s="26"/>
      <c r="C37" s="27"/>
      <c r="D37" s="1"/>
      <c r="E37" s="26"/>
      <c r="F37" s="30"/>
      <c r="G37" s="4"/>
      <c r="H37" s="26"/>
      <c r="I37" s="26"/>
      <c r="J37" s="28"/>
      <c r="K37" s="27"/>
      <c r="L37" s="26"/>
      <c r="M37" s="27"/>
      <c r="N37" s="27"/>
      <c r="O37" s="27"/>
      <c r="P37" s="27"/>
      <c r="Q37" s="26"/>
    </row>
    <row r="38" spans="2:17" s="23" customFormat="1" x14ac:dyDescent="0.25">
      <c r="B38" s="26"/>
      <c r="C38" s="27"/>
      <c r="D38" s="1"/>
      <c r="E38" s="26"/>
      <c r="F38" s="30"/>
      <c r="G38" s="4"/>
      <c r="H38" s="26"/>
      <c r="I38" s="26"/>
      <c r="J38" s="28"/>
      <c r="K38" s="27"/>
      <c r="L38" s="26"/>
      <c r="M38" s="27"/>
      <c r="N38" s="27"/>
      <c r="O38" s="27"/>
      <c r="P38" s="27"/>
      <c r="Q38" s="26"/>
    </row>
    <row r="39" spans="2:17" s="23" customFormat="1" x14ac:dyDescent="0.25">
      <c r="B39" s="26"/>
      <c r="C39" s="27"/>
      <c r="D39" s="1"/>
      <c r="E39" s="26"/>
      <c r="F39" s="30"/>
      <c r="G39" s="4"/>
      <c r="H39" s="26"/>
      <c r="I39" s="26"/>
      <c r="J39" s="28"/>
      <c r="K39" s="27"/>
      <c r="L39" s="26"/>
      <c r="M39" s="27"/>
      <c r="N39" s="27"/>
      <c r="O39" s="27"/>
      <c r="P39" s="27"/>
      <c r="Q39" s="26"/>
    </row>
    <row r="40" spans="2:17" s="23" customFormat="1" x14ac:dyDescent="0.25">
      <c r="B40" s="26"/>
      <c r="C40" s="27"/>
      <c r="D40" s="1"/>
      <c r="E40" s="26"/>
      <c r="F40" s="30"/>
      <c r="G40" s="4"/>
      <c r="H40" s="26"/>
      <c r="I40" s="26"/>
      <c r="J40" s="28"/>
      <c r="K40" s="27"/>
      <c r="L40" s="26"/>
      <c r="M40" s="27"/>
      <c r="N40" s="27"/>
      <c r="O40" s="27"/>
      <c r="P40" s="27"/>
      <c r="Q40" s="26"/>
    </row>
    <row r="41" spans="2:17" s="23" customFormat="1" x14ac:dyDescent="0.25">
      <c r="B41" s="26"/>
      <c r="C41" s="27"/>
      <c r="D41" s="1"/>
      <c r="E41" s="26"/>
      <c r="F41" s="30"/>
      <c r="G41" s="4"/>
      <c r="H41" s="26"/>
      <c r="I41" s="26"/>
      <c r="J41" s="28"/>
      <c r="K41" s="27"/>
      <c r="L41" s="26"/>
      <c r="M41" s="27"/>
      <c r="N41" s="27"/>
      <c r="O41" s="27"/>
      <c r="P41" s="27"/>
      <c r="Q41" s="26"/>
    </row>
    <row r="42" spans="2:17" x14ac:dyDescent="0.25">
      <c r="B42" s="7"/>
      <c r="C42" s="29"/>
      <c r="D42" s="25"/>
      <c r="E42" s="25"/>
      <c r="F42" s="8"/>
      <c r="G42" s="4"/>
      <c r="H42" s="4"/>
      <c r="I42" s="8"/>
      <c r="J42" s="13"/>
      <c r="K42" s="21"/>
      <c r="L42" s="16"/>
      <c r="M42" s="14"/>
      <c r="Q42" s="7"/>
    </row>
    <row r="43" spans="2:17" x14ac:dyDescent="0.25">
      <c r="B43" s="7"/>
      <c r="C43" s="29"/>
      <c r="D43" s="25"/>
      <c r="E43" s="25"/>
      <c r="F43" s="8"/>
      <c r="G43" s="4"/>
      <c r="H43" s="4"/>
      <c r="I43" s="8"/>
      <c r="J43" s="13"/>
      <c r="K43" s="21"/>
      <c r="L43" s="16"/>
      <c r="M43" s="14"/>
      <c r="Q43" s="7"/>
    </row>
    <row r="44" spans="2:17" x14ac:dyDescent="0.25">
      <c r="B44" s="7"/>
      <c r="C44" s="29"/>
      <c r="D44" s="25"/>
      <c r="E44" s="25"/>
      <c r="F44" s="8"/>
      <c r="G44" s="4"/>
      <c r="H44" s="4"/>
      <c r="I44" s="8"/>
      <c r="J44" s="13"/>
      <c r="K44" s="21"/>
      <c r="L44" s="16"/>
      <c r="M44" s="14"/>
      <c r="Q44" s="7"/>
    </row>
    <row r="45" spans="2:17" x14ac:dyDescent="0.25">
      <c r="C45" s="11"/>
      <c r="D45" s="12"/>
      <c r="E45" s="12"/>
      <c r="F45" s="12"/>
      <c r="G45" s="12"/>
      <c r="H45" s="12"/>
      <c r="I45" s="12"/>
      <c r="J45" s="22"/>
      <c r="K45" s="21"/>
    </row>
    <row r="46" spans="2:17" x14ac:dyDescent="0.25">
      <c r="B46" s="9"/>
      <c r="C46" s="29"/>
      <c r="D46" s="25"/>
      <c r="E46" s="25"/>
      <c r="F46" s="8"/>
      <c r="G46" s="4"/>
      <c r="H46" s="4"/>
      <c r="I46" s="8"/>
      <c r="J46" s="13"/>
      <c r="K46" s="21"/>
      <c r="L46" s="16"/>
      <c r="M46" s="14"/>
      <c r="Q46" s="7"/>
    </row>
    <row r="47" spans="2:17" x14ac:dyDescent="0.25">
      <c r="B47" s="9"/>
      <c r="C47" s="29"/>
      <c r="D47" s="25"/>
      <c r="E47" s="25"/>
      <c r="F47" s="8"/>
      <c r="G47" s="4"/>
      <c r="H47" s="4"/>
      <c r="I47" s="8"/>
      <c r="J47" s="13"/>
      <c r="K47" s="21"/>
      <c r="L47" s="16"/>
      <c r="M47" s="14"/>
      <c r="Q47" s="7"/>
    </row>
    <row r="48" spans="2:17" x14ac:dyDescent="0.25">
      <c r="B48" s="9"/>
      <c r="C48" s="29"/>
      <c r="D48" s="25"/>
      <c r="E48" s="25"/>
      <c r="F48" s="8"/>
      <c r="G48" s="4"/>
      <c r="H48" s="4"/>
      <c r="I48" s="8"/>
      <c r="J48" s="13"/>
      <c r="K48" s="21"/>
      <c r="L48" s="16"/>
      <c r="M48" s="14"/>
      <c r="Q48" s="7"/>
    </row>
    <row r="49" spans="2:17" x14ac:dyDescent="0.25">
      <c r="C49" s="11"/>
      <c r="D49" s="12"/>
      <c r="E49" s="12"/>
      <c r="F49" s="12"/>
      <c r="G49" s="12"/>
      <c r="H49" s="12"/>
      <c r="I49" s="12"/>
      <c r="J49" s="22"/>
      <c r="K49" s="21"/>
    </row>
    <row r="50" spans="2:17" x14ac:dyDescent="0.25">
      <c r="B50" s="7"/>
      <c r="C50" s="29"/>
      <c r="D50" s="25"/>
      <c r="E50" s="25"/>
      <c r="F50" s="8"/>
      <c r="G50" s="4"/>
      <c r="H50" s="4"/>
      <c r="I50" s="8"/>
      <c r="J50" s="13"/>
      <c r="K50" s="21"/>
      <c r="L50" s="16"/>
      <c r="M50" s="14"/>
      <c r="Q50" s="7"/>
    </row>
    <row r="51" spans="2:17" x14ac:dyDescent="0.25">
      <c r="B51" s="7"/>
      <c r="C51" s="29"/>
      <c r="D51" s="25"/>
      <c r="E51" s="25"/>
      <c r="F51" s="8"/>
      <c r="G51" s="24"/>
      <c r="H51" s="8"/>
      <c r="I51" s="24"/>
      <c r="J51" s="13"/>
      <c r="K51" s="21"/>
      <c r="L51" s="16"/>
      <c r="M51" s="14"/>
      <c r="Q51" s="7"/>
    </row>
    <row r="52" spans="2:17" x14ac:dyDescent="0.25">
      <c r="B52" s="7"/>
      <c r="C52" s="29"/>
      <c r="D52" s="25"/>
      <c r="E52" s="25"/>
      <c r="F52" s="8"/>
      <c r="G52" s="24"/>
      <c r="H52" s="8"/>
      <c r="I52" s="24"/>
      <c r="J52" s="13"/>
      <c r="K52" s="21"/>
      <c r="L52" s="16"/>
      <c r="M52" s="14"/>
      <c r="Q52" s="7"/>
    </row>
    <row r="53" spans="2:17" x14ac:dyDescent="0.25">
      <c r="C53" s="11"/>
      <c r="D53" s="12"/>
      <c r="E53" s="12"/>
      <c r="G53" s="12"/>
      <c r="H53" s="12"/>
      <c r="I53" s="12"/>
      <c r="J53" s="22"/>
      <c r="K53" s="21"/>
    </row>
    <row r="54" spans="2:17" x14ac:dyDescent="0.25">
      <c r="B54" s="7"/>
      <c r="C54" s="29"/>
      <c r="D54" s="25"/>
      <c r="E54" s="25"/>
      <c r="G54" s="24"/>
      <c r="H54" s="8"/>
      <c r="I54" s="24"/>
      <c r="J54" s="13"/>
      <c r="K54" s="21"/>
      <c r="L54" s="16"/>
      <c r="M54" s="14"/>
      <c r="Q54" s="7"/>
    </row>
    <row r="55" spans="2:17" x14ac:dyDescent="0.25">
      <c r="B55" s="7"/>
      <c r="C55" s="29"/>
      <c r="D55" s="25"/>
      <c r="E55" s="25"/>
      <c r="G55" s="24"/>
      <c r="H55" s="8"/>
      <c r="I55" s="24"/>
      <c r="J55" s="13"/>
      <c r="K55" s="21"/>
      <c r="L55" s="16"/>
      <c r="M55" s="14"/>
      <c r="Q55" s="7"/>
    </row>
    <row r="56" spans="2:17" x14ac:dyDescent="0.25">
      <c r="B56" s="7"/>
      <c r="C56" s="29"/>
      <c r="D56" s="25"/>
      <c r="E56" s="25"/>
      <c r="G56" s="4"/>
      <c r="H56" s="4"/>
      <c r="I56" s="8"/>
      <c r="J56" s="13"/>
      <c r="K56" s="21"/>
      <c r="L56" s="16"/>
      <c r="M56" s="14"/>
      <c r="Q56" s="7"/>
    </row>
    <row r="57" spans="2:17" x14ac:dyDescent="0.25">
      <c r="C57" s="11"/>
      <c r="D57" s="12"/>
      <c r="E57" s="12"/>
      <c r="G57" s="12"/>
      <c r="H57" s="12"/>
      <c r="I57" s="12"/>
      <c r="J57" s="22"/>
      <c r="K57" s="21"/>
    </row>
    <row r="58" spans="2:17" x14ac:dyDescent="0.25">
      <c r="B58" s="2"/>
      <c r="C58" s="29"/>
      <c r="D58" s="12"/>
      <c r="E58" s="12"/>
      <c r="G58" s="4"/>
      <c r="H58" s="4"/>
      <c r="I58" s="8"/>
      <c r="J58" s="13"/>
      <c r="K58" s="21"/>
      <c r="L58" s="16"/>
      <c r="M58" s="14"/>
      <c r="Q58" s="2"/>
    </row>
    <row r="59" spans="2:17" x14ac:dyDescent="0.25">
      <c r="B59" s="2"/>
      <c r="C59" s="29"/>
      <c r="D59" s="12"/>
      <c r="E59" s="12"/>
      <c r="G59" s="24"/>
      <c r="H59" s="8"/>
      <c r="I59" s="24"/>
      <c r="J59" s="13"/>
      <c r="K59" s="21"/>
      <c r="L59" s="16"/>
      <c r="M59" s="14"/>
      <c r="Q59" s="2"/>
    </row>
    <row r="60" spans="2:17" x14ac:dyDescent="0.25">
      <c r="B60" s="2"/>
      <c r="C60" s="29"/>
      <c r="D60" s="12"/>
      <c r="E60" s="12"/>
      <c r="G60" s="24"/>
      <c r="H60" s="8"/>
      <c r="I60" s="24"/>
      <c r="J60" s="13"/>
      <c r="K60" s="21"/>
      <c r="L60" s="16"/>
      <c r="M60" s="14"/>
      <c r="Q60" s="2"/>
    </row>
  </sheetData>
  <conditionalFormatting sqref="L2:L10 L12:L20 L22:L30">
    <cfRule type="cellIs" dxfId="66" priority="14" operator="lessThan">
      <formula>0.025</formula>
    </cfRule>
  </conditionalFormatting>
  <conditionalFormatting sqref="L2:L10">
    <cfRule type="cellIs" dxfId="65" priority="13" operator="lessThan">
      <formula>0.03</formula>
    </cfRule>
  </conditionalFormatting>
  <conditionalFormatting sqref="L12:L20">
    <cfRule type="cellIs" dxfId="64" priority="12" operator="lessThan">
      <formula>0.03</formula>
    </cfRule>
  </conditionalFormatting>
  <conditionalFormatting sqref="L22:L30">
    <cfRule type="cellIs" dxfId="63" priority="11" operator="lessThan">
      <formula>0.03</formula>
    </cfRule>
  </conditionalFormatting>
  <conditionalFormatting sqref="L54:L56">
    <cfRule type="cellIs" dxfId="62" priority="2" operator="lessThan">
      <formula>0.025</formula>
    </cfRule>
  </conditionalFormatting>
  <conditionalFormatting sqref="L54:L56">
    <cfRule type="cellIs" dxfId="61" priority="1" operator="lessThan">
      <formula>0.03</formula>
    </cfRule>
  </conditionalFormatting>
  <conditionalFormatting sqref="L42:L44">
    <cfRule type="cellIs" dxfId="60" priority="10" operator="lessThan">
      <formula>0.025</formula>
    </cfRule>
  </conditionalFormatting>
  <conditionalFormatting sqref="L42:L44">
    <cfRule type="cellIs" dxfId="59" priority="9" operator="lessThan">
      <formula>0.03</formula>
    </cfRule>
  </conditionalFormatting>
  <conditionalFormatting sqref="L46:L48">
    <cfRule type="cellIs" dxfId="58" priority="8" operator="lessThan">
      <formula>0.025</formula>
    </cfRule>
  </conditionalFormatting>
  <conditionalFormatting sqref="L46:L48">
    <cfRule type="cellIs" dxfId="57" priority="7" operator="lessThan">
      <formula>0.03</formula>
    </cfRule>
  </conditionalFormatting>
  <conditionalFormatting sqref="L50:L52">
    <cfRule type="cellIs" dxfId="56" priority="6" operator="lessThan">
      <formula>0.025</formula>
    </cfRule>
  </conditionalFormatting>
  <conditionalFormatting sqref="L50:L52">
    <cfRule type="cellIs" dxfId="55" priority="5" operator="lessThan">
      <formula>0.03</formula>
    </cfRule>
  </conditionalFormatting>
  <conditionalFormatting sqref="L58:L60">
    <cfRule type="cellIs" dxfId="54" priority="4" operator="lessThan">
      <formula>0.025</formula>
    </cfRule>
  </conditionalFormatting>
  <conditionalFormatting sqref="L58:L60">
    <cfRule type="cellIs" dxfId="53" priority="3" operator="lessThan">
      <formula>0.03</formula>
    </cfRule>
  </conditionalFormatting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D6559-0A07-495A-94AD-2074F94B11DD}">
  <dimension ref="A1:C5"/>
  <sheetViews>
    <sheetView workbookViewId="0">
      <selection activeCell="D21" sqref="D21"/>
    </sheetView>
  </sheetViews>
  <sheetFormatPr defaultRowHeight="15" x14ac:dyDescent="0.25"/>
  <cols>
    <col min="1" max="1" width="20.28515625" customWidth="1"/>
    <col min="2" max="2" width="14.28515625" customWidth="1"/>
    <col min="3" max="3" width="10.5703125" bestFit="1" customWidth="1"/>
  </cols>
  <sheetData>
    <row r="1" spans="1:3" x14ac:dyDescent="0.25">
      <c r="A1" t="s">
        <v>113</v>
      </c>
      <c r="B1" s="59">
        <v>2000</v>
      </c>
      <c r="C1" t="s">
        <v>114</v>
      </c>
    </row>
    <row r="2" spans="1:3" x14ac:dyDescent="0.25">
      <c r="A2" t="s">
        <v>115</v>
      </c>
      <c r="B2">
        <f>10</f>
        <v>10</v>
      </c>
      <c r="C2" t="s">
        <v>116</v>
      </c>
    </row>
    <row r="3" spans="1:3" x14ac:dyDescent="0.25">
      <c r="A3" t="s">
        <v>117</v>
      </c>
      <c r="B3" s="59">
        <f>150000000/4000</f>
        <v>37500</v>
      </c>
      <c r="C3" t="s">
        <v>147</v>
      </c>
    </row>
    <row r="4" spans="1:3" x14ac:dyDescent="0.25">
      <c r="A4" t="s">
        <v>118</v>
      </c>
      <c r="B4">
        <v>14</v>
      </c>
      <c r="C4" t="s">
        <v>119</v>
      </c>
    </row>
    <row r="5" spans="1:3" x14ac:dyDescent="0.25">
      <c r="A5" t="s">
        <v>120</v>
      </c>
      <c r="B5" s="60">
        <v>0.03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8F76-D3EB-4CA3-BE56-B67A35A994D6}">
  <sheetPr>
    <pageSetUpPr fitToPage="1"/>
  </sheetPr>
  <dimension ref="A1:Q23"/>
  <sheetViews>
    <sheetView workbookViewId="0">
      <selection activeCell="E31" sqref="E31"/>
    </sheetView>
  </sheetViews>
  <sheetFormatPr defaultRowHeight="15" x14ac:dyDescent="0.25"/>
  <cols>
    <col min="2" max="2" width="26" customWidth="1"/>
    <col min="3" max="3" width="10.5703125" bestFit="1" customWidth="1"/>
    <col min="4" max="4" width="10.85546875" bestFit="1" customWidth="1"/>
    <col min="5" max="5" width="19.7109375" customWidth="1"/>
    <col min="6" max="6" width="9.85546875" customWidth="1"/>
    <col min="7" max="7" width="27.7109375" customWidth="1"/>
    <col min="11" max="11" width="11.85546875" customWidth="1"/>
  </cols>
  <sheetData>
    <row r="1" spans="1:17" x14ac:dyDescent="0.25">
      <c r="A1" t="s">
        <v>121</v>
      </c>
      <c r="H1" t="s">
        <v>163</v>
      </c>
      <c r="I1" t="s">
        <v>164</v>
      </c>
      <c r="J1" t="s">
        <v>165</v>
      </c>
      <c r="K1" t="s">
        <v>166</v>
      </c>
      <c r="L1" t="s">
        <v>167</v>
      </c>
      <c r="M1" t="s">
        <v>168</v>
      </c>
      <c r="N1" t="s">
        <v>169</v>
      </c>
      <c r="O1" t="s">
        <v>170</v>
      </c>
      <c r="P1" t="s">
        <v>171</v>
      </c>
      <c r="Q1" t="s">
        <v>172</v>
      </c>
    </row>
    <row r="2" spans="1:17" x14ac:dyDescent="0.25">
      <c r="B2" t="s">
        <v>122</v>
      </c>
      <c r="D2">
        <f>12*3*365/250</f>
        <v>52.56</v>
      </c>
      <c r="E2" t="s">
        <v>123</v>
      </c>
      <c r="F2" s="61"/>
    </row>
    <row r="3" spans="1:17" x14ac:dyDescent="0.25">
      <c r="D3" s="62">
        <v>0.12</v>
      </c>
      <c r="E3" t="s">
        <v>124</v>
      </c>
      <c r="F3" s="62">
        <f>D2*D3*1.3</f>
        <v>8.1993600000000004</v>
      </c>
    </row>
    <row r="4" spans="1:17" x14ac:dyDescent="0.25">
      <c r="D4" s="62">
        <f>0.02</f>
        <v>0.02</v>
      </c>
      <c r="E4" t="s">
        <v>125</v>
      </c>
      <c r="F4" s="62">
        <f>D4*365.25</f>
        <v>7.3049999999999997</v>
      </c>
    </row>
    <row r="5" spans="1:17" x14ac:dyDescent="0.25">
      <c r="D5" s="63">
        <v>10000</v>
      </c>
      <c r="E5" t="s">
        <v>126</v>
      </c>
      <c r="F5" s="62">
        <v>12.4</v>
      </c>
    </row>
    <row r="6" spans="1:17" x14ac:dyDescent="0.25">
      <c r="B6" t="s">
        <v>127</v>
      </c>
      <c r="D6" s="63">
        <v>20000</v>
      </c>
      <c r="E6" t="s">
        <v>128</v>
      </c>
      <c r="F6" s="62">
        <v>9.3000000000000007</v>
      </c>
    </row>
    <row r="7" spans="1:17" x14ac:dyDescent="0.25">
      <c r="D7">
        <f>3*D2</f>
        <v>157.68</v>
      </c>
      <c r="E7" t="s">
        <v>129</v>
      </c>
      <c r="F7" s="62"/>
    </row>
    <row r="8" spans="1:17" x14ac:dyDescent="0.25">
      <c r="D8" s="62">
        <v>0.18</v>
      </c>
      <c r="E8" t="s">
        <v>130</v>
      </c>
      <c r="F8" s="62">
        <f>D7*D8*1.3</f>
        <v>36.897120000000001</v>
      </c>
    </row>
    <row r="9" spans="1:17" x14ac:dyDescent="0.25">
      <c r="B9" t="s">
        <v>131</v>
      </c>
      <c r="D9" s="63">
        <v>10000</v>
      </c>
      <c r="E9" t="s">
        <v>128</v>
      </c>
      <c r="F9" s="62">
        <v>5.8</v>
      </c>
    </row>
    <row r="10" spans="1:17" x14ac:dyDescent="0.25">
      <c r="B10" t="s">
        <v>132</v>
      </c>
      <c r="D10">
        <v>1</v>
      </c>
      <c r="E10" t="s">
        <v>133</v>
      </c>
      <c r="F10" s="62"/>
    </row>
    <row r="11" spans="1:17" x14ac:dyDescent="0.25">
      <c r="D11">
        <v>0.18</v>
      </c>
      <c r="E11" t="s">
        <v>134</v>
      </c>
      <c r="F11" s="62"/>
    </row>
    <row r="12" spans="1:17" x14ac:dyDescent="0.25">
      <c r="D12" s="61">
        <v>805</v>
      </c>
      <c r="E12" s="61" t="s">
        <v>135</v>
      </c>
      <c r="F12" s="62">
        <f>D10*D12*D11</f>
        <v>144.9</v>
      </c>
    </row>
    <row r="13" spans="1:17" x14ac:dyDescent="0.25">
      <c r="B13" t="s">
        <v>136</v>
      </c>
      <c r="D13" s="61"/>
      <c r="E13" s="61"/>
      <c r="F13" s="62">
        <f>0.15*SUM(F2:F12)</f>
        <v>33.720222</v>
      </c>
    </row>
    <row r="14" spans="1:17" x14ac:dyDescent="0.25">
      <c r="B14" t="s">
        <v>137</v>
      </c>
      <c r="D14" s="61"/>
      <c r="E14" s="61"/>
      <c r="F14" s="62">
        <f>0.1*SUM(F2:F12)</f>
        <v>22.480148000000003</v>
      </c>
    </row>
    <row r="15" spans="1:17" x14ac:dyDescent="0.25">
      <c r="B15" t="s">
        <v>138</v>
      </c>
      <c r="F15" s="62">
        <f>SUM(F2:F13)</f>
        <v>258.521702</v>
      </c>
      <c r="G15" t="s">
        <v>139</v>
      </c>
      <c r="H15" s="59">
        <f>Cost_of_Sales</f>
        <v>258.521702</v>
      </c>
      <c r="I15" s="59">
        <v>266.27735306</v>
      </c>
      <c r="J15" s="59">
        <v>274.2656736518</v>
      </c>
      <c r="K15" s="59">
        <v>282.49364386135403</v>
      </c>
      <c r="L15" s="59">
        <v>290.96845317719465</v>
      </c>
      <c r="M15" s="59">
        <v>299.69750677251051</v>
      </c>
      <c r="N15" s="59">
        <v>308.68843197568583</v>
      </c>
      <c r="O15" s="59">
        <v>317.94908493495643</v>
      </c>
      <c r="P15" s="59">
        <v>327.48755748300511</v>
      </c>
      <c r="Q15" s="59">
        <v>337.31218420749525</v>
      </c>
    </row>
    <row r="16" spans="1:17" x14ac:dyDescent="0.25">
      <c r="F16" s="62"/>
    </row>
    <row r="17" spans="1:7" x14ac:dyDescent="0.25">
      <c r="A17" t="s">
        <v>140</v>
      </c>
      <c r="F17" s="62"/>
    </row>
    <row r="18" spans="1:7" x14ac:dyDescent="0.25">
      <c r="B18" t="s">
        <v>141</v>
      </c>
      <c r="F18" s="62">
        <v>3.7499999999999999E-2</v>
      </c>
    </row>
    <row r="19" spans="1:7" x14ac:dyDescent="0.25">
      <c r="B19" t="s">
        <v>142</v>
      </c>
      <c r="D19">
        <v>63800</v>
      </c>
      <c r="E19" t="s">
        <v>173</v>
      </c>
    </row>
    <row r="20" spans="1:7" x14ac:dyDescent="0.25">
      <c r="B20" t="s">
        <v>143</v>
      </c>
      <c r="D20" s="61">
        <v>105</v>
      </c>
      <c r="E20" t="s">
        <v>114</v>
      </c>
    </row>
    <row r="21" spans="1:7" x14ac:dyDescent="0.25">
      <c r="B21" t="s">
        <v>144</v>
      </c>
      <c r="F21" s="62">
        <f>D20/D19</f>
        <v>1.6457680250783699E-3</v>
      </c>
      <c r="G21" t="s">
        <v>147</v>
      </c>
    </row>
    <row r="22" spans="1:7" x14ac:dyDescent="0.25">
      <c r="B22" t="s">
        <v>145</v>
      </c>
      <c r="F22" s="64">
        <f>0.017*365</f>
        <v>6.2050000000000001</v>
      </c>
    </row>
    <row r="23" spans="1:7" x14ac:dyDescent="0.25">
      <c r="B23" t="s">
        <v>146</v>
      </c>
      <c r="F23" s="64">
        <v>0</v>
      </c>
    </row>
  </sheetData>
  <pageMargins left="0.7" right="0.7" top="0.75" bottom="0.75" header="0.3" footer="0.3"/>
  <pageSetup scale="58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B2774-9F43-4391-8A1E-37B0E91513C1}">
  <sheetPr>
    <pageSetUpPr fitToPage="1"/>
  </sheetPr>
  <dimension ref="A1:I41"/>
  <sheetViews>
    <sheetView topLeftCell="A10" workbookViewId="0">
      <selection activeCell="C27" sqref="C27"/>
    </sheetView>
  </sheetViews>
  <sheetFormatPr defaultRowHeight="15" x14ac:dyDescent="0.25"/>
  <cols>
    <col min="1" max="1" width="12.85546875" customWidth="1"/>
    <col min="2" max="2" width="20.5703125" customWidth="1"/>
    <col min="3" max="7" width="12.85546875" customWidth="1"/>
  </cols>
  <sheetData>
    <row r="1" spans="1:9" x14ac:dyDescent="0.25">
      <c r="A1" t="s">
        <v>206</v>
      </c>
      <c r="B1" t="s">
        <v>205</v>
      </c>
    </row>
    <row r="2" spans="1:9" x14ac:dyDescent="0.25">
      <c r="A2" t="s">
        <v>151</v>
      </c>
      <c r="B2">
        <v>9.8065999999999995</v>
      </c>
      <c r="C2" t="s">
        <v>152</v>
      </c>
    </row>
    <row r="3" spans="1:9" x14ac:dyDescent="0.25">
      <c r="A3" t="s">
        <v>199</v>
      </c>
      <c r="B3">
        <v>6378.1369999999997</v>
      </c>
      <c r="G3" t="s">
        <v>196</v>
      </c>
      <c r="H3">
        <f>Initial_SMA/B3</f>
        <v>1.0783926403587758</v>
      </c>
      <c r="I3" t="s">
        <v>203</v>
      </c>
    </row>
    <row r="4" spans="1:9" x14ac:dyDescent="0.25">
      <c r="A4" t="s">
        <v>200</v>
      </c>
      <c r="B4">
        <v>806.81112382429001</v>
      </c>
      <c r="C4" t="s">
        <v>201</v>
      </c>
      <c r="G4" t="s">
        <v>197</v>
      </c>
      <c r="H4">
        <f>SQRT(POWER(H3,3))*B4</f>
        <v>903.51891802244324</v>
      </c>
      <c r="I4" t="s">
        <v>201</v>
      </c>
    </row>
    <row r="5" spans="1:9" x14ac:dyDescent="0.25">
      <c r="A5" t="s">
        <v>104</v>
      </c>
      <c r="B5" s="41">
        <v>6878.1360000000004</v>
      </c>
      <c r="C5" t="s">
        <v>69</v>
      </c>
      <c r="G5" t="s">
        <v>198</v>
      </c>
      <c r="H5">
        <f>Initial_SMA/H4</f>
        <v>7.6126087266156706</v>
      </c>
      <c r="I5" t="s">
        <v>202</v>
      </c>
    </row>
    <row r="6" spans="1:9" x14ac:dyDescent="0.25">
      <c r="A6" t="s">
        <v>101</v>
      </c>
      <c r="B6" s="41">
        <v>42159.617000000006</v>
      </c>
      <c r="C6" t="s">
        <v>69</v>
      </c>
      <c r="E6" t="s">
        <v>195</v>
      </c>
    </row>
    <row r="7" spans="1:9" x14ac:dyDescent="0.25">
      <c r="A7" t="s">
        <v>194</v>
      </c>
      <c r="B7" s="41">
        <f>Final_SMA/Initial_SMA</f>
        <v>6.1295119782452696</v>
      </c>
      <c r="E7" s="2">
        <f>1-SQRT(1/B7)</f>
        <v>0.59608772568056723</v>
      </c>
      <c r="F7" s="2">
        <f>E7*H5*1000</f>
        <v>4537.7826223443744</v>
      </c>
      <c r="G7" t="s">
        <v>204</v>
      </c>
    </row>
    <row r="8" spans="1:9" x14ac:dyDescent="0.25">
      <c r="A8" t="s">
        <v>103</v>
      </c>
      <c r="B8">
        <v>0.01</v>
      </c>
    </row>
    <row r="9" spans="1:9" x14ac:dyDescent="0.25">
      <c r="A9" t="s">
        <v>102</v>
      </c>
      <c r="B9">
        <v>0</v>
      </c>
      <c r="C9" t="s">
        <v>68</v>
      </c>
    </row>
    <row r="10" spans="1:9" x14ac:dyDescent="0.25">
      <c r="A10" t="s">
        <v>105</v>
      </c>
      <c r="B10">
        <v>180</v>
      </c>
      <c r="C10" t="s">
        <v>68</v>
      </c>
    </row>
    <row r="11" spans="1:9" x14ac:dyDescent="0.25">
      <c r="A11" t="s">
        <v>106</v>
      </c>
      <c r="B11">
        <v>90</v>
      </c>
      <c r="C11" t="s">
        <v>68</v>
      </c>
    </row>
    <row r="12" spans="1:9" x14ac:dyDescent="0.25">
      <c r="A12" t="s">
        <v>67</v>
      </c>
      <c r="B12" t="s">
        <v>193</v>
      </c>
    </row>
    <row r="13" spans="1:9" x14ac:dyDescent="0.25">
      <c r="B13">
        <v>4847</v>
      </c>
      <c r="C13" t="s">
        <v>66</v>
      </c>
    </row>
    <row r="14" spans="1:9" x14ac:dyDescent="0.25">
      <c r="B14">
        <v>6152</v>
      </c>
      <c r="C14" t="s">
        <v>66</v>
      </c>
    </row>
    <row r="15" spans="1:9" x14ac:dyDescent="0.25">
      <c r="A15" t="s">
        <v>208</v>
      </c>
      <c r="B15" t="s">
        <v>209</v>
      </c>
      <c r="C15" t="s">
        <v>210</v>
      </c>
    </row>
    <row r="16" spans="1:9" x14ac:dyDescent="0.25">
      <c r="B16">
        <v>28.5</v>
      </c>
      <c r="C16">
        <v>-0.36</v>
      </c>
    </row>
    <row r="17" spans="1:8" x14ac:dyDescent="0.25">
      <c r="B17">
        <v>51.6</v>
      </c>
      <c r="C17">
        <v>-0.64</v>
      </c>
    </row>
    <row r="19" spans="1:8" x14ac:dyDescent="0.25">
      <c r="A19" t="s">
        <v>207</v>
      </c>
      <c r="C19" t="s">
        <v>213</v>
      </c>
      <c r="D19" t="s">
        <v>214</v>
      </c>
      <c r="E19" t="s">
        <v>215</v>
      </c>
    </row>
    <row r="20" spans="1:8" x14ac:dyDescent="0.25">
      <c r="B20" t="s">
        <v>218</v>
      </c>
      <c r="C20">
        <v>80000</v>
      </c>
      <c r="D20">
        <v>0</v>
      </c>
      <c r="E20">
        <v>20000</v>
      </c>
    </row>
    <row r="21" spans="1:8" x14ac:dyDescent="0.25">
      <c r="B21" t="s">
        <v>219</v>
      </c>
      <c r="C21">
        <v>0</v>
      </c>
      <c r="D21">
        <v>-80000</v>
      </c>
      <c r="E21">
        <v>20000</v>
      </c>
    </row>
    <row r="22" spans="1:8" x14ac:dyDescent="0.25">
      <c r="B22" t="s">
        <v>220</v>
      </c>
      <c r="C22">
        <v>-80000</v>
      </c>
      <c r="D22">
        <v>0</v>
      </c>
      <c r="E22">
        <v>20000</v>
      </c>
    </row>
    <row r="23" spans="1:8" x14ac:dyDescent="0.25">
      <c r="B23" t="s">
        <v>221</v>
      </c>
      <c r="C23">
        <v>0</v>
      </c>
      <c r="D23">
        <v>80000</v>
      </c>
      <c r="E23">
        <v>20000</v>
      </c>
    </row>
    <row r="25" spans="1:8" x14ac:dyDescent="0.25">
      <c r="A25" t="s">
        <v>24</v>
      </c>
      <c r="B25">
        <v>2.5000000000000001E-2</v>
      </c>
    </row>
    <row r="28" spans="1:8" x14ac:dyDescent="0.25">
      <c r="A28" t="s">
        <v>65</v>
      </c>
    </row>
    <row r="29" spans="1:8" ht="30" x14ac:dyDescent="0.25">
      <c r="A29" s="43" t="s">
        <v>64</v>
      </c>
      <c r="B29" s="43" t="s">
        <v>85</v>
      </c>
      <c r="C29" s="43" t="s">
        <v>63</v>
      </c>
      <c r="D29" s="43" t="s">
        <v>62</v>
      </c>
      <c r="E29" s="43" t="s">
        <v>61</v>
      </c>
      <c r="F29" s="43" t="s">
        <v>71</v>
      </c>
    </row>
    <row r="30" spans="1:8" x14ac:dyDescent="0.25">
      <c r="A30">
        <v>4063</v>
      </c>
      <c r="B30">
        <v>350</v>
      </c>
      <c r="C30">
        <v>0.245</v>
      </c>
      <c r="D30">
        <v>1927</v>
      </c>
      <c r="E30">
        <v>0.56999999999999995</v>
      </c>
      <c r="F30" s="41">
        <f>ABS(EXP($B$13/(D30*9.81))-1)</f>
        <v>0.29227279535099004</v>
      </c>
      <c r="H30" t="s">
        <v>84</v>
      </c>
    </row>
    <row r="31" spans="1:8" x14ac:dyDescent="0.25">
      <c r="A31">
        <v>4537</v>
      </c>
      <c r="B31">
        <v>400</v>
      </c>
      <c r="C31" s="41">
        <v>0.26</v>
      </c>
      <c r="D31">
        <v>2077</v>
      </c>
      <c r="E31" s="2">
        <v>0.58399999999999996</v>
      </c>
      <c r="F31" s="41">
        <f t="shared" ref="F31:F41" si="0">ABS(EXP($B$13/(D31*9.81))-1)</f>
        <v>0.26856361765104264</v>
      </c>
      <c r="H31" t="s">
        <v>70</v>
      </c>
    </row>
    <row r="32" spans="1:8" x14ac:dyDescent="0.25">
      <c r="A32">
        <v>4544</v>
      </c>
      <c r="B32">
        <v>600</v>
      </c>
      <c r="C32" s="41">
        <v>0.19800000000000001</v>
      </c>
      <c r="D32">
        <v>2696</v>
      </c>
      <c r="E32" s="2">
        <v>0.58399999999999996</v>
      </c>
      <c r="F32" s="41">
        <f t="shared" si="0"/>
        <v>0.20113499421976266</v>
      </c>
      <c r="H32" t="s">
        <v>70</v>
      </c>
    </row>
    <row r="33" spans="1:8" x14ac:dyDescent="0.25">
      <c r="A33">
        <v>4563</v>
      </c>
      <c r="B33">
        <v>800</v>
      </c>
      <c r="C33" s="41">
        <v>0.17199999999999999</v>
      </c>
      <c r="D33">
        <v>3203</v>
      </c>
      <c r="E33" s="2">
        <v>0.59199999999999997</v>
      </c>
      <c r="F33" s="41">
        <f t="shared" si="0"/>
        <v>0.16679162221435107</v>
      </c>
      <c r="H33" t="s">
        <v>70</v>
      </c>
    </row>
    <row r="34" spans="1:8" x14ac:dyDescent="0.25">
      <c r="A34">
        <v>5999</v>
      </c>
      <c r="B34">
        <v>350</v>
      </c>
      <c r="C34">
        <v>0.36499999999999999</v>
      </c>
      <c r="D34">
        <v>1977</v>
      </c>
      <c r="E34">
        <v>0.56999999999999995</v>
      </c>
      <c r="F34" s="41">
        <f t="shared" si="0"/>
        <v>0.28391998781703376</v>
      </c>
      <c r="H34" t="s">
        <v>84</v>
      </c>
    </row>
    <row r="35" spans="1:8" x14ac:dyDescent="0.25">
      <c r="A35">
        <v>6295</v>
      </c>
      <c r="B35">
        <v>400</v>
      </c>
      <c r="C35">
        <v>0.35899999999999999</v>
      </c>
      <c r="D35">
        <v>2165</v>
      </c>
      <c r="E35" s="2">
        <v>0.60599999999999998</v>
      </c>
      <c r="F35" s="41">
        <f t="shared" si="0"/>
        <v>0.25635668404991829</v>
      </c>
      <c r="H35" t="s">
        <v>70</v>
      </c>
    </row>
    <row r="36" spans="1:8" x14ac:dyDescent="0.25">
      <c r="A36">
        <v>6327</v>
      </c>
      <c r="B36">
        <v>600</v>
      </c>
      <c r="C36">
        <v>0.29499999999999998</v>
      </c>
      <c r="D36">
        <v>2583</v>
      </c>
      <c r="E36" s="2">
        <v>0.60599999999999998</v>
      </c>
      <c r="F36" s="41">
        <f t="shared" si="0"/>
        <v>0.21080378404232469</v>
      </c>
      <c r="H36" t="s">
        <v>70</v>
      </c>
    </row>
    <row r="37" spans="1:8" x14ac:dyDescent="0.25">
      <c r="A37">
        <v>6342</v>
      </c>
      <c r="B37">
        <v>800</v>
      </c>
      <c r="C37">
        <v>0.23799999999999999</v>
      </c>
      <c r="D37">
        <v>3152</v>
      </c>
      <c r="E37" s="2">
        <v>0.57999999999999996</v>
      </c>
      <c r="F37" s="41">
        <f t="shared" si="0"/>
        <v>0.16970748067149488</v>
      </c>
      <c r="H37" t="s">
        <v>70</v>
      </c>
    </row>
    <row r="38" spans="1:8" x14ac:dyDescent="0.25">
      <c r="A38">
        <v>8047</v>
      </c>
      <c r="B38">
        <v>800</v>
      </c>
      <c r="C38">
        <v>0.32500000000000001</v>
      </c>
      <c r="D38">
        <v>3068</v>
      </c>
      <c r="E38" s="2">
        <v>0.60699999999999998</v>
      </c>
      <c r="F38" s="41">
        <f t="shared" si="0"/>
        <v>0.17473844562969632</v>
      </c>
      <c r="H38" t="s">
        <v>70</v>
      </c>
    </row>
    <row r="39" spans="1:8" x14ac:dyDescent="0.25">
      <c r="A39">
        <v>8058</v>
      </c>
      <c r="B39">
        <v>600</v>
      </c>
      <c r="C39">
        <v>0.377</v>
      </c>
      <c r="D39">
        <v>2637</v>
      </c>
      <c r="E39" s="2">
        <v>0.60599999999999998</v>
      </c>
      <c r="F39" s="41">
        <f t="shared" si="0"/>
        <v>0.2060702369867855</v>
      </c>
      <c r="H39" t="s">
        <v>70</v>
      </c>
    </row>
    <row r="40" spans="1:8" x14ac:dyDescent="0.25">
      <c r="A40">
        <v>8060</v>
      </c>
      <c r="B40">
        <v>350</v>
      </c>
      <c r="C40">
        <v>0.46500000000000002</v>
      </c>
      <c r="D40">
        <v>1979</v>
      </c>
      <c r="E40">
        <v>0.56000000000000005</v>
      </c>
      <c r="F40" s="41">
        <f t="shared" si="0"/>
        <v>0.28359574925796505</v>
      </c>
      <c r="H40" t="s">
        <v>84</v>
      </c>
    </row>
    <row r="41" spans="1:8" x14ac:dyDescent="0.25">
      <c r="A41">
        <v>8061</v>
      </c>
      <c r="B41">
        <v>400</v>
      </c>
      <c r="C41">
        <v>0.44900000000000001</v>
      </c>
      <c r="D41">
        <v>2217</v>
      </c>
      <c r="E41" s="2">
        <v>0.60599999999999998</v>
      </c>
      <c r="F41" s="41">
        <f t="shared" si="0"/>
        <v>0.24964958249539881</v>
      </c>
      <c r="H41" t="s">
        <v>70</v>
      </c>
    </row>
  </sheetData>
  <sortState xmlns:xlrd2="http://schemas.microsoft.com/office/spreadsheetml/2017/richdata2" ref="A30:G41">
    <sortCondition ref="A30:A41"/>
  </sortState>
  <printOptions gridLines="1"/>
  <pageMargins left="0.7" right="0.7" top="0.75" bottom="0.75" header="0.3" footer="0.3"/>
  <pageSetup scale="90" fitToHeight="0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A5B7F-3D5B-4F96-99B0-F8FE12C18A74}">
  <sheetPr>
    <pageSetUpPr fitToPage="1"/>
  </sheetPr>
  <dimension ref="A1:X43"/>
  <sheetViews>
    <sheetView zoomScale="80" zoomScaleNormal="80" workbookViewId="0">
      <selection activeCell="D13" sqref="D13"/>
    </sheetView>
  </sheetViews>
  <sheetFormatPr defaultRowHeight="15" x14ac:dyDescent="0.25"/>
  <cols>
    <col min="1" max="1" width="17.28515625" customWidth="1"/>
    <col min="2" max="2" width="10.7109375" customWidth="1"/>
    <col min="4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4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45" t="s">
        <v>23</v>
      </c>
      <c r="N1" s="44" t="s">
        <v>22</v>
      </c>
      <c r="O1" s="43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23" customFormat="1" x14ac:dyDescent="0.25">
      <c r="A2" s="23" t="s">
        <v>89</v>
      </c>
      <c r="B2" s="35">
        <f t="shared" ref="B2:B43" si="0">R2*S2*0.001</f>
        <v>65.007999999999996</v>
      </c>
      <c r="C2" s="46">
        <f>4*S2*0.001</f>
        <v>16.251999999999999</v>
      </c>
      <c r="D2" s="35">
        <f t="shared" ref="D2:D43" si="1">T2*R2</f>
        <v>3.92</v>
      </c>
      <c r="E2" s="50">
        <f>V2</f>
        <v>0.56999999999999995</v>
      </c>
      <c r="F2" s="29">
        <f>U2</f>
        <v>1927</v>
      </c>
      <c r="G2" s="34">
        <v>2066.335</v>
      </c>
      <c r="H2" s="35">
        <v>1229</v>
      </c>
      <c r="I2" s="35">
        <v>2000</v>
      </c>
      <c r="J2" s="36">
        <f>SUM(G2:I2)</f>
        <v>5295.335</v>
      </c>
      <c r="K2" s="35">
        <f t="shared" ref="K2:K43" si="2">(2*J2+I2)*W2</f>
        <v>3679.9103162418501</v>
      </c>
      <c r="L2" s="38">
        <f t="shared" ref="L2:L10" si="3">SUM(J2,K2)</f>
        <v>8975.2453162418497</v>
      </c>
      <c r="M2" s="13">
        <f t="shared" ref="M2:M10" si="4">H2/L2</f>
        <v>0.13693219034091111</v>
      </c>
      <c r="N2" s="21">
        <f t="shared" ref="N2:N10" si="5">Q2*(1-Q2)</f>
        <v>0.21331945362714219</v>
      </c>
      <c r="O2" s="51">
        <f>(M2-N2)</f>
        <v>-7.6387263286231077E-2</v>
      </c>
      <c r="P2" s="21">
        <f t="shared" ref="P2:P10" si="6">SQRT(E2*H2*(1/J2 - 1/L2))</f>
        <v>0.23289603914289717</v>
      </c>
      <c r="Q2" s="21">
        <f t="shared" ref="Q2:Q10" si="7">1-(P2/SQRT(E2))</f>
        <v>0.69152166032294571</v>
      </c>
      <c r="R2" s="46">
        <v>16</v>
      </c>
      <c r="S2" s="46">
        <v>4063</v>
      </c>
      <c r="T2" s="49">
        <f>VLOOKUP(S2,'Mission Params'!$A$30:$F$41,3)</f>
        <v>0.245</v>
      </c>
      <c r="U2" s="23">
        <f>VLOOKUP(S2,'Mission Params'!$A$30:$F$41,4)</f>
        <v>1927</v>
      </c>
      <c r="V2" s="23">
        <f>VLOOKUP(S2,'Mission Params'!$A$30:$F$41,5)</f>
        <v>0.56999999999999995</v>
      </c>
      <c r="W2" s="23">
        <f>VLOOKUP(S2,'Mission Params'!$A$30:$F$41,6)</f>
        <v>0.29227279535099004</v>
      </c>
      <c r="X2" s="46">
        <f t="shared" ref="X2:X10" si="8">(I2+2*J2)</f>
        <v>12590.67</v>
      </c>
    </row>
    <row r="3" spans="1:24" s="23" customFormat="1" x14ac:dyDescent="0.25">
      <c r="A3" s="23" t="s">
        <v>89</v>
      </c>
      <c r="B3" s="35">
        <f t="shared" si="0"/>
        <v>65.007999999999996</v>
      </c>
      <c r="C3" s="46">
        <f t="shared" ref="C3:C43" si="9">4*S3*0.001</f>
        <v>16.251999999999999</v>
      </c>
      <c r="D3" s="35">
        <f t="shared" si="1"/>
        <v>3.92</v>
      </c>
      <c r="E3" s="50">
        <f t="shared" ref="E3:E43" si="10">V3</f>
        <v>0.56999999999999995</v>
      </c>
      <c r="F3" s="29">
        <f t="shared" ref="F3:F43" si="11">U3</f>
        <v>1927</v>
      </c>
      <c r="G3" s="34">
        <v>2066.335</v>
      </c>
      <c r="H3" s="35">
        <v>1229</v>
      </c>
      <c r="I3" s="35">
        <v>4000</v>
      </c>
      <c r="J3" s="36">
        <f t="shared" ref="J3:J10" si="12">SUM(G3:I3)</f>
        <v>7295.335</v>
      </c>
      <c r="K3" s="35">
        <f t="shared" si="2"/>
        <v>5433.5470883477892</v>
      </c>
      <c r="L3" s="38">
        <f t="shared" si="3"/>
        <v>12728.882088347789</v>
      </c>
      <c r="M3" s="13">
        <f t="shared" si="4"/>
        <v>9.6552076723614655E-2</v>
      </c>
      <c r="N3" s="21">
        <f t="shared" si="5"/>
        <v>0.19625190663070677</v>
      </c>
      <c r="O3" s="51">
        <f t="shared" ref="O3:O10" si="13">(M3-N3)</f>
        <v>-9.9699829907092113E-2</v>
      </c>
      <c r="P3" s="21">
        <f t="shared" si="6"/>
        <v>0.2024591155997226</v>
      </c>
      <c r="Q3" s="21">
        <f t="shared" si="7"/>
        <v>0.7318363504053953</v>
      </c>
      <c r="R3" s="46">
        <v>16</v>
      </c>
      <c r="S3" s="46">
        <v>4063</v>
      </c>
      <c r="T3" s="49">
        <f>VLOOKUP(S3,'Mission Params'!$A$30:$F$41,3)</f>
        <v>0.245</v>
      </c>
      <c r="U3" s="23">
        <f>VLOOKUP(S3,'Mission Params'!$A$30:$F$41,4)</f>
        <v>1927</v>
      </c>
      <c r="V3" s="23">
        <f>VLOOKUP(S3,'Mission Params'!$A$30:$F$41,5)</f>
        <v>0.56999999999999995</v>
      </c>
      <c r="W3" s="23">
        <f>VLOOKUP(S3,'Mission Params'!$A$30:$F$41,6)</f>
        <v>0.29227279535099004</v>
      </c>
      <c r="X3" s="46">
        <f t="shared" si="8"/>
        <v>18590.669999999998</v>
      </c>
    </row>
    <row r="4" spans="1:24" s="68" customFormat="1" ht="15.75" thickBot="1" x14ac:dyDescent="0.3">
      <c r="A4" s="68" t="s">
        <v>89</v>
      </c>
      <c r="B4" s="69">
        <f t="shared" si="0"/>
        <v>65.007999999999996</v>
      </c>
      <c r="C4" s="77">
        <f t="shared" si="9"/>
        <v>16.251999999999999</v>
      </c>
      <c r="D4" s="69">
        <f t="shared" si="1"/>
        <v>3.92</v>
      </c>
      <c r="E4" s="70">
        <f t="shared" si="10"/>
        <v>0.56999999999999995</v>
      </c>
      <c r="F4" s="71">
        <f t="shared" si="11"/>
        <v>1927</v>
      </c>
      <c r="G4" s="72">
        <v>2066.335</v>
      </c>
      <c r="H4" s="69">
        <v>1229</v>
      </c>
      <c r="I4" s="69">
        <v>8000</v>
      </c>
      <c r="J4" s="73">
        <f t="shared" si="12"/>
        <v>11295.334999999999</v>
      </c>
      <c r="K4" s="69">
        <f t="shared" si="2"/>
        <v>8940.8206325596693</v>
      </c>
      <c r="L4" s="74">
        <f t="shared" si="3"/>
        <v>20236.155632559668</v>
      </c>
      <c r="M4" s="75">
        <f t="shared" si="4"/>
        <v>6.073287942214467E-2</v>
      </c>
      <c r="N4" s="75">
        <f t="shared" si="5"/>
        <v>0.17118268810508661</v>
      </c>
      <c r="O4" s="76">
        <f t="shared" si="13"/>
        <v>-0.11044980868294194</v>
      </c>
      <c r="P4" s="75">
        <f t="shared" si="6"/>
        <v>0.16553449074722934</v>
      </c>
      <c r="Q4" s="75">
        <f t="shared" si="7"/>
        <v>0.78074421079501066</v>
      </c>
      <c r="R4" s="77">
        <v>16</v>
      </c>
      <c r="S4" s="77">
        <v>4063</v>
      </c>
      <c r="T4" s="78">
        <f>VLOOKUP(S4,'Mission Params'!$A$30:$F$41,3)</f>
        <v>0.245</v>
      </c>
      <c r="U4" s="68">
        <f>VLOOKUP(S4,'Mission Params'!$A$30:$F$41,4)</f>
        <v>1927</v>
      </c>
      <c r="V4" s="68">
        <f>VLOOKUP(S4,'Mission Params'!$A$30:$F$41,5)</f>
        <v>0.56999999999999995</v>
      </c>
      <c r="W4" s="68">
        <f>VLOOKUP(S4,'Mission Params'!$A$30:$F$41,6)</f>
        <v>0.29227279535099004</v>
      </c>
      <c r="X4" s="77">
        <f t="shared" si="8"/>
        <v>30590.67</v>
      </c>
    </row>
    <row r="5" spans="1:24" s="23" customFormat="1" x14ac:dyDescent="0.25">
      <c r="A5" s="23" t="s">
        <v>90</v>
      </c>
      <c r="B5" s="35">
        <f t="shared" si="0"/>
        <v>95.984000000000009</v>
      </c>
      <c r="C5" s="46">
        <f t="shared" si="9"/>
        <v>23.996000000000002</v>
      </c>
      <c r="D5" s="35">
        <f t="shared" si="1"/>
        <v>5.84</v>
      </c>
      <c r="E5" s="50">
        <f t="shared" si="10"/>
        <v>0.56999999999999995</v>
      </c>
      <c r="F5" s="29">
        <f t="shared" si="11"/>
        <v>1977</v>
      </c>
      <c r="G5" s="34">
        <v>2085</v>
      </c>
      <c r="H5" s="35">
        <v>1612</v>
      </c>
      <c r="I5" s="35">
        <v>2000</v>
      </c>
      <c r="J5" s="36">
        <f t="shared" si="12"/>
        <v>5697</v>
      </c>
      <c r="K5" s="35">
        <f t="shared" si="2"/>
        <v>3802.8243168213503</v>
      </c>
      <c r="L5" s="38">
        <f t="shared" si="3"/>
        <v>9499.8243168213503</v>
      </c>
      <c r="M5" s="13">
        <f t="shared" si="4"/>
        <v>0.16968734854871259</v>
      </c>
      <c r="N5" s="21">
        <f t="shared" si="5"/>
        <v>0.22328540423849164</v>
      </c>
      <c r="O5" s="51">
        <f t="shared" si="13"/>
        <v>-5.3598055689779045E-2</v>
      </c>
      <c r="P5" s="21">
        <f t="shared" si="6"/>
        <v>0.25409269590004141</v>
      </c>
      <c r="Q5" s="21">
        <f t="shared" si="7"/>
        <v>0.66344600258650677</v>
      </c>
      <c r="R5" s="46">
        <v>16</v>
      </c>
      <c r="S5" s="46">
        <v>5999</v>
      </c>
      <c r="T5" s="49">
        <f>VLOOKUP(S5,'Mission Params'!$A$30:$F$41,3)</f>
        <v>0.36499999999999999</v>
      </c>
      <c r="U5" s="23">
        <f>VLOOKUP(S5,'Mission Params'!$A$30:$F$41,4)</f>
        <v>1977</v>
      </c>
      <c r="V5" s="23">
        <f>VLOOKUP(S5,'Mission Params'!$A$30:$F$41,5)</f>
        <v>0.56999999999999995</v>
      </c>
      <c r="W5" s="23">
        <f>VLOOKUP(S5,'Mission Params'!$A$30:$F$41,6)</f>
        <v>0.28391998781703376</v>
      </c>
      <c r="X5" s="46">
        <f t="shared" si="8"/>
        <v>13394</v>
      </c>
    </row>
    <row r="6" spans="1:24" s="23" customFormat="1" x14ac:dyDescent="0.25">
      <c r="A6" s="23" t="s">
        <v>90</v>
      </c>
      <c r="B6" s="35">
        <f t="shared" si="0"/>
        <v>95.984000000000009</v>
      </c>
      <c r="C6" s="46">
        <f t="shared" si="9"/>
        <v>23.996000000000002</v>
      </c>
      <c r="D6" s="35">
        <f t="shared" si="1"/>
        <v>5.84</v>
      </c>
      <c r="E6" s="50">
        <f t="shared" si="10"/>
        <v>0.56999999999999995</v>
      </c>
      <c r="F6" s="29">
        <f t="shared" si="11"/>
        <v>1977</v>
      </c>
      <c r="G6" s="34">
        <v>2085</v>
      </c>
      <c r="H6" s="35">
        <v>1612</v>
      </c>
      <c r="I6" s="35">
        <v>4000</v>
      </c>
      <c r="J6" s="36">
        <f t="shared" si="12"/>
        <v>7697</v>
      </c>
      <c r="K6" s="35">
        <f t="shared" si="2"/>
        <v>5506.3442437235526</v>
      </c>
      <c r="L6" s="38">
        <f t="shared" si="3"/>
        <v>13203.344243723554</v>
      </c>
      <c r="M6" s="13">
        <f t="shared" si="4"/>
        <v>0.1220902803292653</v>
      </c>
      <c r="N6" s="21">
        <f t="shared" si="5"/>
        <v>0.20819477621692578</v>
      </c>
      <c r="O6" s="51">
        <f t="shared" si="13"/>
        <v>-8.6104495887660476E-2</v>
      </c>
      <c r="P6" s="21">
        <f t="shared" si="6"/>
        <v>0.2231253473280656</v>
      </c>
      <c r="Q6" s="21">
        <f t="shared" si="7"/>
        <v>0.70446325778260066</v>
      </c>
      <c r="R6" s="46">
        <v>16</v>
      </c>
      <c r="S6" s="46">
        <v>5999</v>
      </c>
      <c r="T6" s="49">
        <f>VLOOKUP(S6,'Mission Params'!$A$30:$F$41,3)</f>
        <v>0.36499999999999999</v>
      </c>
      <c r="U6" s="23">
        <f>VLOOKUP(S6,'Mission Params'!$A$30:$F$41,4)</f>
        <v>1977</v>
      </c>
      <c r="V6" s="23">
        <f>VLOOKUP(S6,'Mission Params'!$A$30:$F$41,5)</f>
        <v>0.56999999999999995</v>
      </c>
      <c r="W6" s="23">
        <f>VLOOKUP(S6,'Mission Params'!$A$30:$F$41,6)</f>
        <v>0.28391998781703376</v>
      </c>
      <c r="X6" s="46">
        <f t="shared" si="8"/>
        <v>19394</v>
      </c>
    </row>
    <row r="7" spans="1:24" s="68" customFormat="1" ht="15.75" thickBot="1" x14ac:dyDescent="0.3">
      <c r="A7" s="68" t="s">
        <v>90</v>
      </c>
      <c r="B7" s="69">
        <f t="shared" si="0"/>
        <v>95.984000000000009</v>
      </c>
      <c r="C7" s="77">
        <f t="shared" si="9"/>
        <v>23.996000000000002</v>
      </c>
      <c r="D7" s="69">
        <f t="shared" si="1"/>
        <v>5.84</v>
      </c>
      <c r="E7" s="70">
        <f t="shared" si="10"/>
        <v>0.56999999999999995</v>
      </c>
      <c r="F7" s="71">
        <f t="shared" si="11"/>
        <v>1977</v>
      </c>
      <c r="G7" s="72">
        <v>2085</v>
      </c>
      <c r="H7" s="69">
        <v>1612</v>
      </c>
      <c r="I7" s="69">
        <v>8000</v>
      </c>
      <c r="J7" s="73">
        <f t="shared" si="12"/>
        <v>11697</v>
      </c>
      <c r="K7" s="69">
        <f t="shared" si="2"/>
        <v>8913.3840975279581</v>
      </c>
      <c r="L7" s="74">
        <f t="shared" si="3"/>
        <v>20610.38409752796</v>
      </c>
      <c r="M7" s="75">
        <f t="shared" si="4"/>
        <v>7.8213001386681857E-2</v>
      </c>
      <c r="N7" s="75">
        <f t="shared" si="5"/>
        <v>0.18453123083888504</v>
      </c>
      <c r="O7" s="76">
        <f t="shared" si="13"/>
        <v>-0.10631822945220318</v>
      </c>
      <c r="P7" s="75">
        <f t="shared" si="6"/>
        <v>0.18431512271014405</v>
      </c>
      <c r="Q7" s="75">
        <f t="shared" si="7"/>
        <v>0.75586865607400011</v>
      </c>
      <c r="R7" s="77">
        <v>16</v>
      </c>
      <c r="S7" s="77">
        <v>5999</v>
      </c>
      <c r="T7" s="78">
        <f>VLOOKUP(S7,'Mission Params'!$A$30:$F$41,3)</f>
        <v>0.36499999999999999</v>
      </c>
      <c r="U7" s="68">
        <f>VLOOKUP(S7,'Mission Params'!$A$30:$F$41,4)</f>
        <v>1977</v>
      </c>
      <c r="V7" s="68">
        <f>VLOOKUP(S7,'Mission Params'!$A$30:$F$41,5)</f>
        <v>0.56999999999999995</v>
      </c>
      <c r="W7" s="68">
        <f>VLOOKUP(S7,'Mission Params'!$A$30:$F$41,6)</f>
        <v>0.28391998781703376</v>
      </c>
      <c r="X7" s="77">
        <f t="shared" si="8"/>
        <v>31394</v>
      </c>
    </row>
    <row r="8" spans="1:24" s="23" customFormat="1" x14ac:dyDescent="0.25">
      <c r="A8" s="23" t="s">
        <v>91</v>
      </c>
      <c r="B8" s="35">
        <f t="shared" si="0"/>
        <v>128.96</v>
      </c>
      <c r="C8" s="46">
        <f t="shared" si="9"/>
        <v>32.24</v>
      </c>
      <c r="D8" s="35">
        <f t="shared" si="1"/>
        <v>7.44</v>
      </c>
      <c r="E8" s="50">
        <f t="shared" si="10"/>
        <v>0.56000000000000005</v>
      </c>
      <c r="F8" s="29">
        <f t="shared" si="11"/>
        <v>1979</v>
      </c>
      <c r="G8" s="34">
        <v>2120.3850000000002</v>
      </c>
      <c r="H8" s="35">
        <v>2380</v>
      </c>
      <c r="I8" s="35">
        <v>2000</v>
      </c>
      <c r="J8" s="36">
        <f t="shared" si="12"/>
        <v>6500.3850000000002</v>
      </c>
      <c r="K8" s="35">
        <f t="shared" si="2"/>
        <v>4254.1546075964043</v>
      </c>
      <c r="L8" s="38">
        <f t="shared" si="3"/>
        <v>10754.539607596405</v>
      </c>
      <c r="M8" s="13">
        <f t="shared" si="4"/>
        <v>0.22130189546365156</v>
      </c>
      <c r="N8" s="21">
        <f t="shared" si="5"/>
        <v>0.23573545187009881</v>
      </c>
      <c r="O8" s="51">
        <f t="shared" si="13"/>
        <v>-1.4433556406447251E-2</v>
      </c>
      <c r="P8" s="21">
        <f t="shared" si="6"/>
        <v>0.28478930468752928</v>
      </c>
      <c r="Q8" s="21">
        <f t="shared" si="7"/>
        <v>0.61943428372917553</v>
      </c>
      <c r="R8" s="46">
        <v>16</v>
      </c>
      <c r="S8" s="46">
        <v>8060</v>
      </c>
      <c r="T8" s="49">
        <f>VLOOKUP(S8,'Mission Params'!$A$30:$F$41,3)</f>
        <v>0.46500000000000002</v>
      </c>
      <c r="U8" s="23">
        <f>VLOOKUP(S8,'Mission Params'!$A$30:$F$41,4)</f>
        <v>1979</v>
      </c>
      <c r="V8" s="23">
        <f>VLOOKUP(S8,'Mission Params'!$A$30:$F$41,5)</f>
        <v>0.56000000000000005</v>
      </c>
      <c r="W8" s="23">
        <f>VLOOKUP(S8,'Mission Params'!$A$30:$F$41,6)</f>
        <v>0.28359574925796505</v>
      </c>
      <c r="X8" s="46">
        <f t="shared" si="8"/>
        <v>15000.77</v>
      </c>
    </row>
    <row r="9" spans="1:24" s="23" customFormat="1" x14ac:dyDescent="0.25">
      <c r="A9" s="23" t="s">
        <v>91</v>
      </c>
      <c r="B9" s="35">
        <f t="shared" si="0"/>
        <v>128.96</v>
      </c>
      <c r="C9" s="46">
        <f t="shared" si="9"/>
        <v>32.24</v>
      </c>
      <c r="D9" s="35">
        <f t="shared" si="1"/>
        <v>7.44</v>
      </c>
      <c r="E9" s="50">
        <f t="shared" si="10"/>
        <v>0.56000000000000005</v>
      </c>
      <c r="F9" s="29">
        <f t="shared" si="11"/>
        <v>1979</v>
      </c>
      <c r="G9" s="34">
        <v>2120.3850000000002</v>
      </c>
      <c r="H9" s="35">
        <v>2380</v>
      </c>
      <c r="I9" s="35">
        <v>4000</v>
      </c>
      <c r="J9" s="36">
        <f t="shared" si="12"/>
        <v>8500.3850000000002</v>
      </c>
      <c r="K9" s="35">
        <f t="shared" si="2"/>
        <v>5955.7291031441946</v>
      </c>
      <c r="L9" s="38">
        <f t="shared" si="3"/>
        <v>14456.114103144195</v>
      </c>
      <c r="M9" s="13">
        <f t="shared" si="4"/>
        <v>0.16463622125688337</v>
      </c>
      <c r="N9" s="21">
        <f t="shared" si="5"/>
        <v>0.22428267191681633</v>
      </c>
      <c r="O9" s="51">
        <f t="shared" si="13"/>
        <v>-5.9646450659932959E-2</v>
      </c>
      <c r="P9" s="21">
        <f t="shared" si="6"/>
        <v>0.25415864002659411</v>
      </c>
      <c r="Q9" s="21">
        <f t="shared" si="7"/>
        <v>0.66036623111859827</v>
      </c>
      <c r="R9" s="46">
        <v>16</v>
      </c>
      <c r="S9" s="46">
        <v>8060</v>
      </c>
      <c r="T9" s="49">
        <f>VLOOKUP(S9,'Mission Params'!$A$30:$F$41,3)</f>
        <v>0.46500000000000002</v>
      </c>
      <c r="U9" s="23">
        <f>VLOOKUP(S9,'Mission Params'!$A$30:$F$41,4)</f>
        <v>1979</v>
      </c>
      <c r="V9" s="23">
        <f>VLOOKUP(S9,'Mission Params'!$A$30:$F$41,5)</f>
        <v>0.56000000000000005</v>
      </c>
      <c r="W9" s="23">
        <f>VLOOKUP(S9,'Mission Params'!$A$30:$F$41,6)</f>
        <v>0.28359574925796505</v>
      </c>
      <c r="X9" s="46">
        <f t="shared" si="8"/>
        <v>21000.77</v>
      </c>
    </row>
    <row r="10" spans="1:24" s="68" customFormat="1" ht="15.75" thickBot="1" x14ac:dyDescent="0.3">
      <c r="A10" s="68" t="s">
        <v>91</v>
      </c>
      <c r="B10" s="69">
        <f t="shared" si="0"/>
        <v>128.96</v>
      </c>
      <c r="C10" s="77">
        <f t="shared" si="9"/>
        <v>32.24</v>
      </c>
      <c r="D10" s="69">
        <f t="shared" si="1"/>
        <v>7.44</v>
      </c>
      <c r="E10" s="70">
        <f t="shared" si="10"/>
        <v>0.56000000000000005</v>
      </c>
      <c r="F10" s="71">
        <f t="shared" si="11"/>
        <v>1979</v>
      </c>
      <c r="G10" s="72">
        <v>2120.3850000000002</v>
      </c>
      <c r="H10" s="69">
        <v>2380</v>
      </c>
      <c r="I10" s="69">
        <v>8000</v>
      </c>
      <c r="J10" s="73">
        <f t="shared" si="12"/>
        <v>12500.385</v>
      </c>
      <c r="K10" s="69">
        <f t="shared" si="2"/>
        <v>9358.8780942397771</v>
      </c>
      <c r="L10" s="74">
        <f t="shared" si="3"/>
        <v>21859.263094239777</v>
      </c>
      <c r="M10" s="75">
        <f t="shared" si="4"/>
        <v>0.108878327221706</v>
      </c>
      <c r="N10" s="75">
        <f t="shared" si="5"/>
        <v>0.20399392611440761</v>
      </c>
      <c r="O10" s="76">
        <f t="shared" si="13"/>
        <v>-9.5115598892701617E-2</v>
      </c>
      <c r="P10" s="75">
        <f t="shared" si="6"/>
        <v>0.21365592160712357</v>
      </c>
      <c r="Q10" s="75">
        <f t="shared" si="7"/>
        <v>0.71449026524668291</v>
      </c>
      <c r="R10" s="77">
        <v>16</v>
      </c>
      <c r="S10" s="77">
        <v>8060</v>
      </c>
      <c r="T10" s="78">
        <f>VLOOKUP(S10,'Mission Params'!$A$30:$F$41,3)</f>
        <v>0.46500000000000002</v>
      </c>
      <c r="U10" s="68">
        <f>VLOOKUP(S10,'Mission Params'!$A$30:$F$41,4)</f>
        <v>1979</v>
      </c>
      <c r="V10" s="68">
        <f>VLOOKUP(S10,'Mission Params'!$A$30:$F$41,5)</f>
        <v>0.56000000000000005</v>
      </c>
      <c r="W10" s="68">
        <f>VLOOKUP(S10,'Mission Params'!$A$30:$F$41,6)</f>
        <v>0.28359574925796505</v>
      </c>
      <c r="X10" s="77">
        <f t="shared" si="8"/>
        <v>33000.770000000004</v>
      </c>
    </row>
    <row r="11" spans="1:24" x14ac:dyDescent="0.25">
      <c r="A11" t="s">
        <v>92</v>
      </c>
      <c r="B11" s="35">
        <f t="shared" si="0"/>
        <v>130.01599999999999</v>
      </c>
      <c r="C11" s="46">
        <f t="shared" si="9"/>
        <v>16.251999999999999</v>
      </c>
      <c r="D11" s="35">
        <f t="shared" si="1"/>
        <v>7.84</v>
      </c>
      <c r="E11" s="50">
        <f t="shared" si="10"/>
        <v>0.56999999999999995</v>
      </c>
      <c r="F11" s="29">
        <f t="shared" si="11"/>
        <v>1927</v>
      </c>
      <c r="G11" s="37">
        <v>3073</v>
      </c>
      <c r="H11" s="37">
        <v>2507</v>
      </c>
      <c r="I11" s="35">
        <v>4000</v>
      </c>
      <c r="J11" s="36">
        <f>SUM(G11:I11)</f>
        <v>9580</v>
      </c>
      <c r="K11" s="35">
        <f t="shared" si="2"/>
        <v>6769.0379403289298</v>
      </c>
      <c r="L11" s="38">
        <f t="shared" ref="L11:L19" si="14">SUM(J11,K11)</f>
        <v>16349.03794032893</v>
      </c>
      <c r="M11" s="39">
        <f>H11/L11</f>
        <v>0.15334235623833661</v>
      </c>
      <c r="N11" s="40">
        <f t="shared" ref="N11:N19" si="15">Q11*(1-Q11)</f>
        <v>0.22081491984769594</v>
      </c>
      <c r="O11" s="51">
        <f>(M11-N11)</f>
        <v>-6.7472563609359326E-2</v>
      </c>
      <c r="P11" s="21">
        <f t="shared" ref="P11:P19" si="16">SQRT(E11*H11*(1/J11 - 1/L11))</f>
        <v>0.24851305807526186</v>
      </c>
      <c r="Q11" s="21">
        <f t="shared" ref="Q11:Q19" si="17">1-(P11/SQRT(E11))</f>
        <v>0.67083641342613132</v>
      </c>
      <c r="R11" s="12">
        <v>32</v>
      </c>
      <c r="S11" s="46">
        <v>4063</v>
      </c>
      <c r="T11" s="49">
        <f>VLOOKUP(S11,'Mission Params'!$A$30:$F$41,3)</f>
        <v>0.245</v>
      </c>
      <c r="U11" s="23">
        <f>VLOOKUP(S11,'Mission Params'!$A$30:$F$41,4)</f>
        <v>1927</v>
      </c>
      <c r="V11" s="23">
        <f>VLOOKUP(S11,'Mission Params'!$A$30:$F$41,5)</f>
        <v>0.56999999999999995</v>
      </c>
      <c r="W11" s="23">
        <f>VLOOKUP(S11,'Mission Params'!$A$30:$F$41,6)</f>
        <v>0.29227279535099004</v>
      </c>
      <c r="X11" s="46">
        <f t="shared" ref="X11:X19" si="18">(I11+2*J11)</f>
        <v>23160</v>
      </c>
    </row>
    <row r="12" spans="1:24" x14ac:dyDescent="0.25">
      <c r="A12" t="s">
        <v>92</v>
      </c>
      <c r="B12" s="35">
        <f t="shared" si="0"/>
        <v>130.01599999999999</v>
      </c>
      <c r="C12" s="46">
        <f t="shared" si="9"/>
        <v>16.251999999999999</v>
      </c>
      <c r="D12" s="35">
        <f t="shared" si="1"/>
        <v>7.84</v>
      </c>
      <c r="E12" s="50">
        <f t="shared" si="10"/>
        <v>0.56999999999999995</v>
      </c>
      <c r="F12" s="29">
        <f t="shared" si="11"/>
        <v>1927</v>
      </c>
      <c r="G12" s="37">
        <v>3073</v>
      </c>
      <c r="H12" s="37">
        <v>2507</v>
      </c>
      <c r="I12" s="35">
        <v>8000</v>
      </c>
      <c r="J12" s="36">
        <f t="shared" ref="J12:J13" si="19">SUM(G12:I12)</f>
        <v>13580</v>
      </c>
      <c r="K12" s="35">
        <f t="shared" si="2"/>
        <v>10276.311484540811</v>
      </c>
      <c r="L12" s="38">
        <f t="shared" si="14"/>
        <v>23856.311484540813</v>
      </c>
      <c r="M12" s="39">
        <f t="shared" ref="M12:M13" si="20">H12/L12</f>
        <v>0.1050874944194356</v>
      </c>
      <c r="N12" s="40">
        <f t="shared" si="15"/>
        <v>0.20247462840475935</v>
      </c>
      <c r="O12" s="51">
        <f t="shared" ref="O12:O43" si="21">(M12-N12)</f>
        <v>-9.7387133985323754E-2</v>
      </c>
      <c r="P12" s="21">
        <f t="shared" si="16"/>
        <v>0.21290295601907003</v>
      </c>
      <c r="Q12" s="21">
        <f t="shared" si="17"/>
        <v>0.71800314583794578</v>
      </c>
      <c r="R12" s="12">
        <v>32</v>
      </c>
      <c r="S12" s="46">
        <v>4063</v>
      </c>
      <c r="T12" s="49">
        <f>VLOOKUP(S12,'Mission Params'!$A$30:$F$41,3)</f>
        <v>0.245</v>
      </c>
      <c r="U12" s="23">
        <f>VLOOKUP(S12,'Mission Params'!$A$30:$F$41,4)</f>
        <v>1927</v>
      </c>
      <c r="V12" s="23">
        <f>VLOOKUP(S12,'Mission Params'!$A$30:$F$41,5)</f>
        <v>0.56999999999999995</v>
      </c>
      <c r="W12" s="23">
        <f>VLOOKUP(S12,'Mission Params'!$A$30:$F$41,6)</f>
        <v>0.29227279535099004</v>
      </c>
      <c r="X12" s="46">
        <f t="shared" si="18"/>
        <v>35160</v>
      </c>
    </row>
    <row r="13" spans="1:24" s="79" customFormat="1" ht="15.75" thickBot="1" x14ac:dyDescent="0.3">
      <c r="A13" s="79" t="s">
        <v>92</v>
      </c>
      <c r="B13" s="69">
        <f t="shared" si="0"/>
        <v>130.01599999999999</v>
      </c>
      <c r="C13" s="77">
        <f t="shared" si="9"/>
        <v>16.251999999999999</v>
      </c>
      <c r="D13" s="69">
        <f t="shared" si="1"/>
        <v>7.84</v>
      </c>
      <c r="E13" s="70">
        <f t="shared" si="10"/>
        <v>0.56999999999999995</v>
      </c>
      <c r="F13" s="71">
        <f t="shared" si="11"/>
        <v>1927</v>
      </c>
      <c r="G13" s="80">
        <v>3073</v>
      </c>
      <c r="H13" s="80">
        <v>2507</v>
      </c>
      <c r="I13" s="69">
        <v>12000</v>
      </c>
      <c r="J13" s="73">
        <f t="shared" si="19"/>
        <v>17580</v>
      </c>
      <c r="K13" s="69">
        <f t="shared" si="2"/>
        <v>13783.58502875269</v>
      </c>
      <c r="L13" s="74">
        <f t="shared" si="14"/>
        <v>31363.585028752692</v>
      </c>
      <c r="M13" s="81">
        <f t="shared" si="20"/>
        <v>7.9933464165582405E-2</v>
      </c>
      <c r="N13" s="81">
        <f t="shared" si="15"/>
        <v>0.1876715333409166</v>
      </c>
      <c r="O13" s="76">
        <f t="shared" si="21"/>
        <v>-0.1077380691753342</v>
      </c>
      <c r="P13" s="75">
        <f t="shared" si="16"/>
        <v>0.18900504850604283</v>
      </c>
      <c r="Q13" s="75">
        <f t="shared" si="17"/>
        <v>0.74965669760509812</v>
      </c>
      <c r="R13" s="82">
        <v>32</v>
      </c>
      <c r="S13" s="77">
        <v>4063</v>
      </c>
      <c r="T13" s="78">
        <f>VLOOKUP(S13,'Mission Params'!$A$30:$F$41,3)</f>
        <v>0.245</v>
      </c>
      <c r="U13" s="68">
        <f>VLOOKUP(S13,'Mission Params'!$A$30:$F$41,4)</f>
        <v>1927</v>
      </c>
      <c r="V13" s="68">
        <f>VLOOKUP(S13,'Mission Params'!$A$30:$F$41,5)</f>
        <v>0.56999999999999995</v>
      </c>
      <c r="W13" s="68">
        <f>VLOOKUP(S13,'Mission Params'!$A$30:$F$41,6)</f>
        <v>0.29227279535099004</v>
      </c>
      <c r="X13" s="77">
        <f t="shared" si="18"/>
        <v>47160</v>
      </c>
    </row>
    <row r="14" spans="1:24" x14ac:dyDescent="0.25">
      <c r="A14" t="s">
        <v>98</v>
      </c>
      <c r="B14" s="35">
        <f t="shared" si="0"/>
        <v>191.96800000000002</v>
      </c>
      <c r="C14" s="46">
        <f t="shared" si="9"/>
        <v>23.996000000000002</v>
      </c>
      <c r="D14" s="35">
        <f t="shared" si="1"/>
        <v>11.68</v>
      </c>
      <c r="E14" s="50">
        <f t="shared" si="10"/>
        <v>0.56999999999999995</v>
      </c>
      <c r="F14" s="29">
        <f t="shared" si="11"/>
        <v>1977</v>
      </c>
      <c r="G14" s="37">
        <v>3126</v>
      </c>
      <c r="H14" s="37">
        <v>3934</v>
      </c>
      <c r="I14" s="35">
        <v>4000</v>
      </c>
      <c r="J14" s="4">
        <f>SUM(G14:I14)</f>
        <v>11060</v>
      </c>
      <c r="K14" s="35">
        <f t="shared" si="2"/>
        <v>7415.9900817809221</v>
      </c>
      <c r="L14" s="38">
        <f t="shared" si="14"/>
        <v>18475.990081780921</v>
      </c>
      <c r="M14" s="39">
        <f>H14/L14</f>
        <v>0.21292498981579869</v>
      </c>
      <c r="N14" s="40">
        <f t="shared" si="15"/>
        <v>0.23507956830206617</v>
      </c>
      <c r="O14" s="51">
        <f t="shared" si="21"/>
        <v>-2.2154578486267479E-2</v>
      </c>
      <c r="P14" s="21">
        <f t="shared" si="16"/>
        <v>0.28527108379229871</v>
      </c>
      <c r="Q14" s="21">
        <f t="shared" si="17"/>
        <v>0.62214921898208697</v>
      </c>
      <c r="R14" s="12">
        <v>32</v>
      </c>
      <c r="S14" s="46">
        <v>5999</v>
      </c>
      <c r="T14" s="49">
        <f>VLOOKUP(S14,'Mission Params'!$A$30:$F$41,3)</f>
        <v>0.36499999999999999</v>
      </c>
      <c r="U14" s="23">
        <f>VLOOKUP(S14,'Mission Params'!$A$30:$F$41,4)</f>
        <v>1977</v>
      </c>
      <c r="V14" s="23">
        <f>VLOOKUP(S14,'Mission Params'!$A$30:$F$41,5)</f>
        <v>0.56999999999999995</v>
      </c>
      <c r="W14" s="23">
        <f>VLOOKUP(S14,'Mission Params'!$A$30:$F$41,6)</f>
        <v>0.28391998781703376</v>
      </c>
      <c r="X14" s="23">
        <f t="shared" si="18"/>
        <v>26120</v>
      </c>
    </row>
    <row r="15" spans="1:24" x14ac:dyDescent="0.25">
      <c r="A15" t="s">
        <v>98</v>
      </c>
      <c r="B15" s="35">
        <f t="shared" si="0"/>
        <v>191.96800000000002</v>
      </c>
      <c r="C15" s="46">
        <f t="shared" si="9"/>
        <v>23.996000000000002</v>
      </c>
      <c r="D15" s="35">
        <f t="shared" si="1"/>
        <v>11.68</v>
      </c>
      <c r="E15" s="50">
        <f t="shared" si="10"/>
        <v>0.56999999999999995</v>
      </c>
      <c r="F15" s="29">
        <f t="shared" si="11"/>
        <v>1977</v>
      </c>
      <c r="G15" s="37">
        <v>3126</v>
      </c>
      <c r="H15" s="37">
        <v>3934</v>
      </c>
      <c r="I15" s="35">
        <v>8000</v>
      </c>
      <c r="J15" s="4">
        <f t="shared" ref="J15:J16" si="22">SUM(G15:I15)</f>
        <v>15060</v>
      </c>
      <c r="K15" s="35">
        <f t="shared" si="2"/>
        <v>10823.029935585328</v>
      </c>
      <c r="L15" s="38">
        <f t="shared" si="14"/>
        <v>25883.029935585328</v>
      </c>
      <c r="M15" s="39">
        <f t="shared" ref="M15:M16" si="23">H15/L15</f>
        <v>0.1519914789648075</v>
      </c>
      <c r="N15" s="40">
        <f t="shared" si="15"/>
        <v>0.22126977594229452</v>
      </c>
      <c r="O15" s="51">
        <f t="shared" si="21"/>
        <v>-6.9278296977487025E-2</v>
      </c>
      <c r="P15" s="21">
        <f t="shared" si="16"/>
        <v>0.24952208586153088</v>
      </c>
      <c r="Q15" s="21">
        <f t="shared" si="17"/>
        <v>0.66949992347404019</v>
      </c>
      <c r="R15" s="12">
        <v>32</v>
      </c>
      <c r="S15" s="46">
        <v>5999</v>
      </c>
      <c r="T15" s="49">
        <f>VLOOKUP(S15,'Mission Params'!$A$30:$F$41,3)</f>
        <v>0.36499999999999999</v>
      </c>
      <c r="U15" s="23">
        <f>VLOOKUP(S15,'Mission Params'!$A$30:$F$41,4)</f>
        <v>1977</v>
      </c>
      <c r="V15" s="23">
        <f>VLOOKUP(S15,'Mission Params'!$A$30:$F$41,5)</f>
        <v>0.56999999999999995</v>
      </c>
      <c r="W15" s="23">
        <f>VLOOKUP(S15,'Mission Params'!$A$30:$F$41,6)</f>
        <v>0.28391998781703376</v>
      </c>
      <c r="X15" s="23">
        <f t="shared" si="18"/>
        <v>38120</v>
      </c>
    </row>
    <row r="16" spans="1:24" s="79" customFormat="1" ht="15.75" thickBot="1" x14ac:dyDescent="0.3">
      <c r="A16" s="79" t="s">
        <v>98</v>
      </c>
      <c r="B16" s="69">
        <f t="shared" si="0"/>
        <v>191.96800000000002</v>
      </c>
      <c r="C16" s="77">
        <f t="shared" si="9"/>
        <v>23.996000000000002</v>
      </c>
      <c r="D16" s="69">
        <f t="shared" si="1"/>
        <v>11.68</v>
      </c>
      <c r="E16" s="70">
        <f t="shared" si="10"/>
        <v>0.56999999999999995</v>
      </c>
      <c r="F16" s="71">
        <f t="shared" si="11"/>
        <v>1977</v>
      </c>
      <c r="G16" s="80">
        <v>3126</v>
      </c>
      <c r="H16" s="80">
        <v>3934</v>
      </c>
      <c r="I16" s="69">
        <v>12000</v>
      </c>
      <c r="J16" s="83">
        <f t="shared" si="22"/>
        <v>19060</v>
      </c>
      <c r="K16" s="69">
        <f t="shared" si="2"/>
        <v>14230.069789389732</v>
      </c>
      <c r="L16" s="74">
        <f t="shared" si="14"/>
        <v>33290.06978938973</v>
      </c>
      <c r="M16" s="81">
        <f t="shared" si="23"/>
        <v>0.11817337797392817</v>
      </c>
      <c r="N16" s="81">
        <f t="shared" si="15"/>
        <v>0.2088036168269225</v>
      </c>
      <c r="O16" s="76">
        <f t="shared" si="21"/>
        <v>-9.063023885299433E-2</v>
      </c>
      <c r="P16" s="75">
        <f t="shared" si="16"/>
        <v>0.22425354633504258</v>
      </c>
      <c r="Q16" s="75">
        <f t="shared" si="17"/>
        <v>0.70296892169265102</v>
      </c>
      <c r="R16" s="82">
        <v>32</v>
      </c>
      <c r="S16" s="77">
        <v>5999</v>
      </c>
      <c r="T16" s="78">
        <f>VLOOKUP(S16,'Mission Params'!$A$30:$F$41,3)</f>
        <v>0.36499999999999999</v>
      </c>
      <c r="U16" s="68">
        <f>VLOOKUP(S16,'Mission Params'!$A$30:$F$41,4)</f>
        <v>1977</v>
      </c>
      <c r="V16" s="68">
        <f>VLOOKUP(S16,'Mission Params'!$A$30:$F$41,5)</f>
        <v>0.56999999999999995</v>
      </c>
      <c r="W16" s="68">
        <f>VLOOKUP(S16,'Mission Params'!$A$30:$F$41,6)</f>
        <v>0.28391998781703376</v>
      </c>
      <c r="X16" s="68">
        <f t="shared" si="18"/>
        <v>50120</v>
      </c>
    </row>
    <row r="17" spans="1:24" x14ac:dyDescent="0.25">
      <c r="A17" t="s">
        <v>100</v>
      </c>
      <c r="B17" s="35">
        <f t="shared" si="0"/>
        <v>257.92</v>
      </c>
      <c r="C17" s="46">
        <f t="shared" si="9"/>
        <v>32.24</v>
      </c>
      <c r="D17" s="35">
        <f t="shared" si="1"/>
        <v>14.88</v>
      </c>
      <c r="E17" s="50">
        <f t="shared" si="10"/>
        <v>0.56000000000000005</v>
      </c>
      <c r="F17" s="29">
        <f t="shared" si="11"/>
        <v>1979</v>
      </c>
      <c r="G17" s="37">
        <v>3180</v>
      </c>
      <c r="H17" s="37">
        <v>5675</v>
      </c>
      <c r="I17" s="35">
        <v>6000</v>
      </c>
      <c r="J17" s="4">
        <f>SUM(G17:I17)</f>
        <v>14855</v>
      </c>
      <c r="K17" s="35">
        <f t="shared" si="2"/>
        <v>10127.204206001932</v>
      </c>
      <c r="L17" s="38">
        <f t="shared" si="14"/>
        <v>24982.20420600193</v>
      </c>
      <c r="M17" s="39">
        <f>H17/L17</f>
        <v>0.2271617009133482</v>
      </c>
      <c r="N17" s="40">
        <f t="shared" si="15"/>
        <v>0.23866378520833109</v>
      </c>
      <c r="O17" s="51">
        <f t="shared" si="21"/>
        <v>-1.1502084294982895E-2</v>
      </c>
      <c r="P17" s="21">
        <f t="shared" si="16"/>
        <v>0.29448964261756838</v>
      </c>
      <c r="Q17" s="21">
        <f t="shared" si="17"/>
        <v>0.60647166191841329</v>
      </c>
      <c r="R17" s="12">
        <v>32</v>
      </c>
      <c r="S17" s="46">
        <v>8060</v>
      </c>
      <c r="T17" s="49">
        <f>VLOOKUP(S17,'Mission Params'!$A$30:$F$41,3)</f>
        <v>0.46500000000000002</v>
      </c>
      <c r="U17" s="23">
        <f>VLOOKUP(S17,'Mission Params'!$A$30:$F$41,4)</f>
        <v>1979</v>
      </c>
      <c r="V17" s="23">
        <f>VLOOKUP(S17,'Mission Params'!$A$30:$F$41,5)</f>
        <v>0.56000000000000005</v>
      </c>
      <c r="W17" s="23">
        <f>VLOOKUP(S17,'Mission Params'!$A$30:$F$41,6)</f>
        <v>0.28359574925796505</v>
      </c>
      <c r="X17" s="23">
        <f t="shared" si="18"/>
        <v>35710</v>
      </c>
    </row>
    <row r="18" spans="1:24" x14ac:dyDescent="0.25">
      <c r="A18" t="s">
        <v>100</v>
      </c>
      <c r="B18" s="35">
        <f t="shared" si="0"/>
        <v>257.92</v>
      </c>
      <c r="C18" s="46">
        <f t="shared" si="9"/>
        <v>32.24</v>
      </c>
      <c r="D18" s="35">
        <f t="shared" si="1"/>
        <v>14.88</v>
      </c>
      <c r="E18" s="50">
        <f t="shared" si="10"/>
        <v>0.56000000000000005</v>
      </c>
      <c r="F18" s="29">
        <f t="shared" si="11"/>
        <v>1979</v>
      </c>
      <c r="G18" s="37">
        <v>3180</v>
      </c>
      <c r="H18" s="37">
        <v>5675</v>
      </c>
      <c r="I18" s="35">
        <v>8000</v>
      </c>
      <c r="J18" s="8">
        <f t="shared" ref="J18:J19" si="24">SUM(G18:I18)</f>
        <v>16855</v>
      </c>
      <c r="K18" s="35">
        <f t="shared" si="2"/>
        <v>11828.778701549722</v>
      </c>
      <c r="L18" s="38">
        <f t="shared" si="14"/>
        <v>28683.778701549723</v>
      </c>
      <c r="M18" s="39">
        <f t="shared" ref="M18:M19" si="25">H18/L18</f>
        <v>0.197847015173541</v>
      </c>
      <c r="N18" s="40">
        <f t="shared" si="15"/>
        <v>0.23377524594708451</v>
      </c>
      <c r="O18" s="51">
        <f t="shared" si="21"/>
        <v>-3.5928230773543512E-2</v>
      </c>
      <c r="P18" s="21">
        <f t="shared" si="16"/>
        <v>0.27884594918102212</v>
      </c>
      <c r="Q18" s="21">
        <f t="shared" si="17"/>
        <v>0.62737642659815629</v>
      </c>
      <c r="R18" s="12">
        <v>32</v>
      </c>
      <c r="S18" s="46">
        <v>8060</v>
      </c>
      <c r="T18" s="49">
        <f>VLOOKUP(S18,'Mission Params'!$A$30:$F$41,3)</f>
        <v>0.46500000000000002</v>
      </c>
      <c r="U18" s="23">
        <f>VLOOKUP(S18,'Mission Params'!$A$30:$F$41,4)</f>
        <v>1979</v>
      </c>
      <c r="V18" s="23">
        <f>VLOOKUP(S18,'Mission Params'!$A$30:$F$41,5)</f>
        <v>0.56000000000000005</v>
      </c>
      <c r="W18" s="23">
        <f>VLOOKUP(S18,'Mission Params'!$A$30:$F$41,6)</f>
        <v>0.28359574925796505</v>
      </c>
      <c r="X18" s="23">
        <f t="shared" si="18"/>
        <v>41710</v>
      </c>
    </row>
    <row r="19" spans="1:24" s="79" customFormat="1" ht="15.75" thickBot="1" x14ac:dyDescent="0.3">
      <c r="A19" s="79" t="s">
        <v>100</v>
      </c>
      <c r="B19" s="69">
        <f t="shared" si="0"/>
        <v>257.92</v>
      </c>
      <c r="C19" s="77">
        <f t="shared" si="9"/>
        <v>32.24</v>
      </c>
      <c r="D19" s="69">
        <f t="shared" si="1"/>
        <v>14.88</v>
      </c>
      <c r="E19" s="70">
        <f t="shared" si="10"/>
        <v>0.56000000000000005</v>
      </c>
      <c r="F19" s="71">
        <f t="shared" si="11"/>
        <v>1979</v>
      </c>
      <c r="G19" s="80">
        <v>3180</v>
      </c>
      <c r="H19" s="80">
        <v>5675</v>
      </c>
      <c r="I19" s="69">
        <v>12000</v>
      </c>
      <c r="J19" s="84">
        <f t="shared" si="24"/>
        <v>20855</v>
      </c>
      <c r="K19" s="69">
        <f t="shared" si="2"/>
        <v>15231.927692645302</v>
      </c>
      <c r="L19" s="74">
        <f t="shared" si="14"/>
        <v>36086.927692645302</v>
      </c>
      <c r="M19" s="81">
        <f t="shared" si="25"/>
        <v>0.15725916177554217</v>
      </c>
      <c r="N19" s="81">
        <f t="shared" si="15"/>
        <v>0.22404898921303582</v>
      </c>
      <c r="O19" s="76">
        <f t="shared" si="21"/>
        <v>-6.6789827437493648E-2</v>
      </c>
      <c r="P19" s="75">
        <f t="shared" si="16"/>
        <v>0.2536146456060332</v>
      </c>
      <c r="Q19" s="75">
        <f t="shared" si="17"/>
        <v>0.66109317424076097</v>
      </c>
      <c r="R19" s="82">
        <v>32</v>
      </c>
      <c r="S19" s="77">
        <v>8060</v>
      </c>
      <c r="T19" s="78">
        <f>VLOOKUP(S19,'Mission Params'!$A$30:$F$41,3)</f>
        <v>0.46500000000000002</v>
      </c>
      <c r="U19" s="68">
        <f>VLOOKUP(S19,'Mission Params'!$A$30:$F$41,4)</f>
        <v>1979</v>
      </c>
      <c r="V19" s="68">
        <f>VLOOKUP(S19,'Mission Params'!$A$30:$F$41,5)</f>
        <v>0.56000000000000005</v>
      </c>
      <c r="W19" s="68">
        <f>VLOOKUP(S19,'Mission Params'!$A$30:$F$41,6)</f>
        <v>0.28359574925796505</v>
      </c>
      <c r="X19" s="68">
        <f t="shared" si="18"/>
        <v>53710</v>
      </c>
    </row>
    <row r="20" spans="1:24" s="23" customFormat="1" x14ac:dyDescent="0.25">
      <c r="A20" t="s">
        <v>93</v>
      </c>
      <c r="B20" s="35">
        <f t="shared" si="0"/>
        <v>195.024</v>
      </c>
      <c r="C20" s="46">
        <f t="shared" si="9"/>
        <v>16.251999999999999</v>
      </c>
      <c r="D20" s="35">
        <f t="shared" si="1"/>
        <v>11.76</v>
      </c>
      <c r="E20" s="50">
        <f t="shared" si="10"/>
        <v>0.56999999999999995</v>
      </c>
      <c r="F20" s="29">
        <f t="shared" si="11"/>
        <v>1927</v>
      </c>
      <c r="G20" s="37">
        <v>4078</v>
      </c>
      <c r="H20" s="37">
        <v>4072</v>
      </c>
      <c r="I20" s="35">
        <v>8000</v>
      </c>
      <c r="J20" s="36">
        <f>SUM(G20:I20)</f>
        <v>16150</v>
      </c>
      <c r="K20" s="35">
        <f t="shared" si="2"/>
        <v>11778.593652644899</v>
      </c>
      <c r="L20" s="38">
        <f t="shared" ref="L20:L31" si="26">SUM(J20,K20)</f>
        <v>27928.5936526449</v>
      </c>
      <c r="M20" s="39">
        <f>H20/L20</f>
        <v>0.14580039548874216</v>
      </c>
      <c r="N20" s="40">
        <f t="shared" ref="N20:N31" si="27">Q20*(1-Q20)</f>
        <v>0.21975591951713561</v>
      </c>
      <c r="O20" s="51">
        <f t="shared" si="21"/>
        <v>-7.3955524028393449E-2</v>
      </c>
      <c r="P20" s="21">
        <f t="shared" ref="P20:P31" si="28">SQRT(E20*H20*(1/J20 - 1/L20))</f>
        <v>0.24619387000947143</v>
      </c>
      <c r="Q20" s="21">
        <f t="shared" ref="Q20:Q31" si="29">1-(P20/SQRT(E20))</f>
        <v>0.67390825306138979</v>
      </c>
      <c r="R20" s="46">
        <v>48</v>
      </c>
      <c r="S20" s="46">
        <v>4063</v>
      </c>
      <c r="T20" s="49">
        <f>VLOOKUP(S20,'Mission Params'!$A$30:$F$41,3)</f>
        <v>0.245</v>
      </c>
      <c r="U20" s="23">
        <f>VLOOKUP(S20,'Mission Params'!$A$30:$F$41,4)</f>
        <v>1927</v>
      </c>
      <c r="V20" s="23">
        <f>VLOOKUP(S20,'Mission Params'!$A$30:$F$41,5)</f>
        <v>0.56999999999999995</v>
      </c>
      <c r="W20" s="23">
        <f>VLOOKUP(S20,'Mission Params'!$A$30:$F$41,6)</f>
        <v>0.29227279535099004</v>
      </c>
      <c r="X20" s="23">
        <f t="shared" ref="X20:X31" si="30">(I20+2*J20)</f>
        <v>40300</v>
      </c>
    </row>
    <row r="21" spans="1:24" x14ac:dyDescent="0.25">
      <c r="A21" t="s">
        <v>93</v>
      </c>
      <c r="B21" s="35">
        <f t="shared" si="0"/>
        <v>195.024</v>
      </c>
      <c r="C21" s="46">
        <f t="shared" si="9"/>
        <v>16.251999999999999</v>
      </c>
      <c r="D21" s="35">
        <f t="shared" si="1"/>
        <v>11.76</v>
      </c>
      <c r="E21" s="50">
        <f t="shared" si="10"/>
        <v>0.56999999999999995</v>
      </c>
      <c r="F21" s="29">
        <f t="shared" si="11"/>
        <v>1927</v>
      </c>
      <c r="G21" s="37">
        <v>4078</v>
      </c>
      <c r="H21" s="37">
        <v>4072</v>
      </c>
      <c r="I21" s="35">
        <v>12000</v>
      </c>
      <c r="J21" s="36">
        <f>SUM(G21:I21)</f>
        <v>20150</v>
      </c>
      <c r="K21" s="35">
        <f t="shared" si="2"/>
        <v>15285.86719685678</v>
      </c>
      <c r="L21" s="38">
        <f t="shared" si="26"/>
        <v>35435.86719685678</v>
      </c>
      <c r="M21" s="39">
        <f>H21/L21</f>
        <v>0.11491182020123365</v>
      </c>
      <c r="N21" s="40">
        <f t="shared" si="27"/>
        <v>0.20807742678186439</v>
      </c>
      <c r="O21" s="51">
        <f t="shared" si="21"/>
        <v>-9.3165606580630736E-2</v>
      </c>
      <c r="P21" s="21">
        <f t="shared" si="28"/>
        <v>0.22290884194064989</v>
      </c>
      <c r="Q21" s="21">
        <f t="shared" si="29"/>
        <v>0.70475002617371163</v>
      </c>
      <c r="R21" s="46">
        <v>48</v>
      </c>
      <c r="S21" s="46">
        <v>4063</v>
      </c>
      <c r="T21" s="49">
        <f>VLOOKUP(S21,'Mission Params'!$A$30:$F$41,3)</f>
        <v>0.245</v>
      </c>
      <c r="U21" s="23">
        <f>VLOOKUP(S21,'Mission Params'!$A$30:$F$41,4)</f>
        <v>1927</v>
      </c>
      <c r="V21" s="23">
        <f>VLOOKUP(S21,'Mission Params'!$A$30:$F$41,5)</f>
        <v>0.56999999999999995</v>
      </c>
      <c r="W21" s="23">
        <f>VLOOKUP(S21,'Mission Params'!$A$30:$F$41,6)</f>
        <v>0.29227279535099004</v>
      </c>
      <c r="X21" s="23">
        <f t="shared" si="30"/>
        <v>52300</v>
      </c>
    </row>
    <row r="22" spans="1:24" x14ac:dyDescent="0.25">
      <c r="A22" t="s">
        <v>93</v>
      </c>
      <c r="B22" s="35">
        <f t="shared" si="0"/>
        <v>195.024</v>
      </c>
      <c r="C22" s="46">
        <f t="shared" si="9"/>
        <v>16.251999999999999</v>
      </c>
      <c r="D22" s="35">
        <f t="shared" si="1"/>
        <v>11.76</v>
      </c>
      <c r="E22" s="50">
        <f t="shared" si="10"/>
        <v>0.56999999999999995</v>
      </c>
      <c r="F22" s="29">
        <f t="shared" si="11"/>
        <v>1927</v>
      </c>
      <c r="G22" s="37">
        <v>4078</v>
      </c>
      <c r="H22" s="37">
        <v>4072</v>
      </c>
      <c r="I22" s="35">
        <v>16000</v>
      </c>
      <c r="J22" s="36">
        <f t="shared" ref="J22:J23" si="31">SUM(G22:I22)</f>
        <v>24150</v>
      </c>
      <c r="K22" s="35">
        <f t="shared" si="2"/>
        <v>18793.140741068659</v>
      </c>
      <c r="L22" s="38">
        <f t="shared" si="26"/>
        <v>42943.140741068659</v>
      </c>
      <c r="M22" s="39">
        <f t="shared" ref="M22:M23" si="32">H22/L22</f>
        <v>9.4823059742012397E-2</v>
      </c>
      <c r="N22" s="40">
        <f t="shared" si="27"/>
        <v>0.1978529605461653</v>
      </c>
      <c r="O22" s="51">
        <f t="shared" si="21"/>
        <v>-0.1030299008041529</v>
      </c>
      <c r="P22" s="21">
        <f t="shared" si="28"/>
        <v>0.20508576917289814</v>
      </c>
      <c r="Q22" s="21">
        <f t="shared" si="29"/>
        <v>0.7283572627569237</v>
      </c>
      <c r="R22" s="46">
        <v>48</v>
      </c>
      <c r="S22" s="46">
        <v>4063</v>
      </c>
      <c r="T22" s="49">
        <f>VLOOKUP(S22,'Mission Params'!$A$30:$F$41,3)</f>
        <v>0.245</v>
      </c>
      <c r="U22" s="23">
        <f>VLOOKUP(S22,'Mission Params'!$A$30:$F$41,4)</f>
        <v>1927</v>
      </c>
      <c r="V22" s="23">
        <f>VLOOKUP(S22,'Mission Params'!$A$30:$F$41,5)</f>
        <v>0.56999999999999995</v>
      </c>
      <c r="W22" s="23">
        <f>VLOOKUP(S22,'Mission Params'!$A$30:$F$41,6)</f>
        <v>0.29227279535099004</v>
      </c>
      <c r="X22" s="23">
        <f t="shared" si="30"/>
        <v>64300</v>
      </c>
    </row>
    <row r="23" spans="1:24" s="79" customFormat="1" ht="15.75" thickBot="1" x14ac:dyDescent="0.3">
      <c r="A23" s="79" t="s">
        <v>93</v>
      </c>
      <c r="B23" s="69">
        <f t="shared" si="0"/>
        <v>195.024</v>
      </c>
      <c r="C23" s="77">
        <f t="shared" si="9"/>
        <v>16.251999999999999</v>
      </c>
      <c r="D23" s="69">
        <f t="shared" si="1"/>
        <v>11.76</v>
      </c>
      <c r="E23" s="70">
        <f t="shared" si="10"/>
        <v>0.56999999999999995</v>
      </c>
      <c r="F23" s="71">
        <f t="shared" si="11"/>
        <v>1927</v>
      </c>
      <c r="G23" s="80">
        <v>4078</v>
      </c>
      <c r="H23" s="80">
        <v>4072</v>
      </c>
      <c r="I23" s="69">
        <v>24000</v>
      </c>
      <c r="J23" s="73">
        <f t="shared" si="31"/>
        <v>32150</v>
      </c>
      <c r="K23" s="69">
        <f t="shared" si="2"/>
        <v>25807.687829492421</v>
      </c>
      <c r="L23" s="74">
        <f t="shared" si="26"/>
        <v>57957.687829492424</v>
      </c>
      <c r="M23" s="81">
        <f t="shared" si="32"/>
        <v>7.0258151290982257E-2</v>
      </c>
      <c r="N23" s="81">
        <f t="shared" si="27"/>
        <v>0.18108479378187628</v>
      </c>
      <c r="O23" s="76">
        <f t="shared" si="21"/>
        <v>-0.11082664249089402</v>
      </c>
      <c r="P23" s="75">
        <f t="shared" si="28"/>
        <v>0.17929568864397549</v>
      </c>
      <c r="Q23" s="75">
        <f t="shared" si="29"/>
        <v>0.76251705890879495</v>
      </c>
      <c r="R23" s="77">
        <v>48</v>
      </c>
      <c r="S23" s="77">
        <v>4063</v>
      </c>
      <c r="T23" s="78">
        <f>VLOOKUP(S23,'Mission Params'!$A$30:$F$41,3)</f>
        <v>0.245</v>
      </c>
      <c r="U23" s="68">
        <f>VLOOKUP(S23,'Mission Params'!$A$30:$F$41,4)</f>
        <v>1927</v>
      </c>
      <c r="V23" s="68">
        <f>VLOOKUP(S23,'Mission Params'!$A$30:$F$41,5)</f>
        <v>0.56999999999999995</v>
      </c>
      <c r="W23" s="68">
        <f>VLOOKUP(S23,'Mission Params'!$A$30:$F$41,6)</f>
        <v>0.29227279535099004</v>
      </c>
      <c r="X23" s="68">
        <f t="shared" si="30"/>
        <v>88300</v>
      </c>
    </row>
    <row r="24" spans="1:24" x14ac:dyDescent="0.25">
      <c r="A24" t="s">
        <v>94</v>
      </c>
      <c r="B24" s="35">
        <f t="shared" si="0"/>
        <v>287.952</v>
      </c>
      <c r="C24" s="46">
        <f t="shared" si="9"/>
        <v>23.996000000000002</v>
      </c>
      <c r="D24" s="35">
        <f t="shared" si="1"/>
        <v>17.52</v>
      </c>
      <c r="E24" s="50">
        <f t="shared" si="10"/>
        <v>0.56999999999999995</v>
      </c>
      <c r="F24" s="29">
        <f t="shared" si="11"/>
        <v>1977</v>
      </c>
      <c r="G24" s="37">
        <v>4150</v>
      </c>
      <c r="H24" s="37">
        <v>6463</v>
      </c>
      <c r="I24" s="35">
        <v>8000</v>
      </c>
      <c r="J24" s="4">
        <f>SUM(G24:I24)</f>
        <v>18613</v>
      </c>
      <c r="K24" s="35">
        <f t="shared" si="2"/>
        <v>12840.565369013169</v>
      </c>
      <c r="L24" s="38">
        <f t="shared" si="26"/>
        <v>31453.565369013169</v>
      </c>
      <c r="M24" s="39">
        <f>H24/L24</f>
        <v>0.20547750069590193</v>
      </c>
      <c r="N24" s="40">
        <f t="shared" si="27"/>
        <v>0.23474797293806129</v>
      </c>
      <c r="O24" s="51">
        <f t="shared" si="21"/>
        <v>-2.9270472242159368E-2</v>
      </c>
      <c r="P24" s="21">
        <f t="shared" si="28"/>
        <v>0.28425194792583952</v>
      </c>
      <c r="Q24" s="21">
        <f t="shared" si="29"/>
        <v>0.62349909741345766</v>
      </c>
      <c r="R24" s="46">
        <v>48</v>
      </c>
      <c r="S24" s="46">
        <v>5999</v>
      </c>
      <c r="T24" s="49">
        <f>VLOOKUP(S24,'Mission Params'!$A$30:$F$41,3)</f>
        <v>0.36499999999999999</v>
      </c>
      <c r="U24" s="23">
        <f>VLOOKUP(S24,'Mission Params'!$A$30:$F$41,4)</f>
        <v>1977</v>
      </c>
      <c r="V24" s="23">
        <f>VLOOKUP(S24,'Mission Params'!$A$30:$F$41,5)</f>
        <v>0.56999999999999995</v>
      </c>
      <c r="W24" s="23">
        <f>VLOOKUP(S24,'Mission Params'!$A$30:$F$41,6)</f>
        <v>0.28391998781703376</v>
      </c>
      <c r="X24" s="23">
        <f t="shared" si="30"/>
        <v>45226</v>
      </c>
    </row>
    <row r="25" spans="1:24" x14ac:dyDescent="0.25">
      <c r="A25" t="s">
        <v>94</v>
      </c>
      <c r="B25" s="35">
        <f t="shared" si="0"/>
        <v>287.952</v>
      </c>
      <c r="C25" s="46">
        <f t="shared" si="9"/>
        <v>23.996000000000002</v>
      </c>
      <c r="D25" s="35">
        <f t="shared" si="1"/>
        <v>17.52</v>
      </c>
      <c r="E25" s="50">
        <f t="shared" si="10"/>
        <v>0.56999999999999995</v>
      </c>
      <c r="F25" s="29">
        <f t="shared" si="11"/>
        <v>1977</v>
      </c>
      <c r="G25" s="37">
        <v>4167</v>
      </c>
      <c r="H25" s="37">
        <v>6463</v>
      </c>
      <c r="I25" s="35">
        <v>12000</v>
      </c>
      <c r="J25" s="4">
        <f t="shared" ref="J25:J28" si="33">SUM(G25:I25)</f>
        <v>22630</v>
      </c>
      <c r="K25" s="35">
        <f t="shared" si="2"/>
        <v>16257.258502403352</v>
      </c>
      <c r="L25" s="38">
        <f t="shared" si="26"/>
        <v>38887.258502403354</v>
      </c>
      <c r="M25" s="39">
        <f t="shared" ref="M25:M28" si="34">H25/L25</f>
        <v>0.16619839631020958</v>
      </c>
      <c r="N25" s="40">
        <f t="shared" si="27"/>
        <v>0.22614123934708549</v>
      </c>
      <c r="O25" s="51">
        <f t="shared" si="21"/>
        <v>-5.9942843036875915E-2</v>
      </c>
      <c r="P25" s="21">
        <f t="shared" si="28"/>
        <v>0.26087485517829062</v>
      </c>
      <c r="Q25" s="21">
        <f t="shared" si="29"/>
        <v>0.65446281317169674</v>
      </c>
      <c r="R25" s="46">
        <v>48</v>
      </c>
      <c r="S25" s="46">
        <v>5999</v>
      </c>
      <c r="T25" s="49">
        <f>VLOOKUP(S25,'Mission Params'!$A$30:$F$41,3)</f>
        <v>0.36499999999999999</v>
      </c>
      <c r="U25" s="23">
        <f>VLOOKUP(S25,'Mission Params'!$A$30:$F$41,4)</f>
        <v>1977</v>
      </c>
      <c r="V25" s="23">
        <f>VLOOKUP(S25,'Mission Params'!$A$30:$F$41,5)</f>
        <v>0.56999999999999995</v>
      </c>
      <c r="W25" s="23">
        <f>VLOOKUP(S25,'Mission Params'!$A$30:$F$41,6)</f>
        <v>0.28391998781703376</v>
      </c>
      <c r="X25" s="23">
        <f t="shared" si="30"/>
        <v>57260</v>
      </c>
    </row>
    <row r="26" spans="1:24" x14ac:dyDescent="0.25">
      <c r="A26" t="s">
        <v>94</v>
      </c>
      <c r="B26" s="35">
        <f t="shared" si="0"/>
        <v>287.952</v>
      </c>
      <c r="C26" s="46">
        <f t="shared" si="9"/>
        <v>23.996000000000002</v>
      </c>
      <c r="D26" s="35">
        <f t="shared" si="1"/>
        <v>17.52</v>
      </c>
      <c r="E26" s="50">
        <f t="shared" si="10"/>
        <v>0.56999999999999995</v>
      </c>
      <c r="F26" s="29">
        <f t="shared" si="11"/>
        <v>1977</v>
      </c>
      <c r="G26" s="37">
        <v>4167</v>
      </c>
      <c r="H26" s="37">
        <v>6463</v>
      </c>
      <c r="I26" s="35">
        <v>16000</v>
      </c>
      <c r="J26" s="4">
        <f t="shared" si="33"/>
        <v>26630</v>
      </c>
      <c r="K26" s="35">
        <f t="shared" si="2"/>
        <v>19664.298356207757</v>
      </c>
      <c r="L26" s="38">
        <f t="shared" si="26"/>
        <v>46294.298356207757</v>
      </c>
      <c r="M26" s="39">
        <f t="shared" si="34"/>
        <v>0.1396068248031532</v>
      </c>
      <c r="N26" s="40">
        <f t="shared" si="27"/>
        <v>0.21798597079500137</v>
      </c>
      <c r="O26" s="51">
        <f t="shared" si="21"/>
        <v>-7.837914599184817E-2</v>
      </c>
      <c r="P26" s="21">
        <f t="shared" si="28"/>
        <v>0.24240657584863967</v>
      </c>
      <c r="Q26" s="21">
        <f t="shared" si="29"/>
        <v>0.67892464672313491</v>
      </c>
      <c r="R26" s="46">
        <v>48</v>
      </c>
      <c r="S26" s="46">
        <v>5999</v>
      </c>
      <c r="T26" s="49">
        <f>VLOOKUP(S26,'Mission Params'!$A$30:$F$41,3)</f>
        <v>0.36499999999999999</v>
      </c>
      <c r="U26" s="23">
        <f>VLOOKUP(S26,'Mission Params'!$A$30:$F$41,4)</f>
        <v>1977</v>
      </c>
      <c r="V26" s="23">
        <f>VLOOKUP(S26,'Mission Params'!$A$30:$F$41,5)</f>
        <v>0.56999999999999995</v>
      </c>
      <c r="W26" s="23">
        <f>VLOOKUP(S26,'Mission Params'!$A$30:$F$41,6)</f>
        <v>0.28391998781703376</v>
      </c>
      <c r="X26" s="23">
        <f t="shared" si="30"/>
        <v>69260</v>
      </c>
    </row>
    <row r="27" spans="1:24" s="79" customFormat="1" ht="15.75" thickBot="1" x14ac:dyDescent="0.3">
      <c r="A27" s="79" t="s">
        <v>94</v>
      </c>
      <c r="B27" s="69">
        <f t="shared" si="0"/>
        <v>287.952</v>
      </c>
      <c r="C27" s="77">
        <f t="shared" si="9"/>
        <v>23.996000000000002</v>
      </c>
      <c r="D27" s="69">
        <f t="shared" si="1"/>
        <v>17.52</v>
      </c>
      <c r="E27" s="70">
        <f t="shared" si="10"/>
        <v>0.56999999999999995</v>
      </c>
      <c r="F27" s="71">
        <f t="shared" si="11"/>
        <v>1977</v>
      </c>
      <c r="G27" s="80">
        <v>4167</v>
      </c>
      <c r="H27" s="80">
        <v>6463</v>
      </c>
      <c r="I27" s="69">
        <v>24000</v>
      </c>
      <c r="J27" s="83">
        <f t="shared" si="33"/>
        <v>34630</v>
      </c>
      <c r="K27" s="69">
        <f t="shared" si="2"/>
        <v>26478.37806381657</v>
      </c>
      <c r="L27" s="74">
        <f t="shared" si="26"/>
        <v>61108.37806381657</v>
      </c>
      <c r="M27" s="81">
        <f t="shared" si="34"/>
        <v>0.1057629118097452</v>
      </c>
      <c r="N27" s="81">
        <f t="shared" si="27"/>
        <v>0.20350437098842997</v>
      </c>
      <c r="O27" s="76">
        <f t="shared" si="21"/>
        <v>-9.7741459178684764E-2</v>
      </c>
      <c r="P27" s="75">
        <f t="shared" si="28"/>
        <v>0.21469581107596852</v>
      </c>
      <c r="Q27" s="75">
        <f t="shared" si="29"/>
        <v>0.71562845130355601</v>
      </c>
      <c r="R27" s="77">
        <v>48</v>
      </c>
      <c r="S27" s="77">
        <v>5999</v>
      </c>
      <c r="T27" s="78">
        <f>VLOOKUP(S27,'Mission Params'!$A$30:$F$41,3)</f>
        <v>0.36499999999999999</v>
      </c>
      <c r="U27" s="68">
        <f>VLOOKUP(S27,'Mission Params'!$A$30:$F$41,4)</f>
        <v>1977</v>
      </c>
      <c r="V27" s="68">
        <f>VLOOKUP(S27,'Mission Params'!$A$30:$F$41,5)</f>
        <v>0.56999999999999995</v>
      </c>
      <c r="W27" s="68">
        <f>VLOOKUP(S27,'Mission Params'!$A$30:$F$41,6)</f>
        <v>0.28391998781703376</v>
      </c>
      <c r="X27" s="68">
        <f t="shared" si="30"/>
        <v>93260</v>
      </c>
    </row>
    <row r="28" spans="1:24" x14ac:dyDescent="0.25">
      <c r="A28" t="s">
        <v>95</v>
      </c>
      <c r="B28" s="35">
        <f t="shared" si="0"/>
        <v>386.88</v>
      </c>
      <c r="C28" s="46">
        <f t="shared" si="9"/>
        <v>32.24</v>
      </c>
      <c r="D28" s="35">
        <f t="shared" si="1"/>
        <v>22.32</v>
      </c>
      <c r="E28" s="50">
        <f t="shared" si="10"/>
        <v>0.56000000000000005</v>
      </c>
      <c r="F28" s="29">
        <f t="shared" si="11"/>
        <v>1979</v>
      </c>
      <c r="G28" s="37">
        <v>4238</v>
      </c>
      <c r="H28" s="37">
        <v>10110</v>
      </c>
      <c r="I28" s="35">
        <v>8000</v>
      </c>
      <c r="J28" s="4">
        <f t="shared" si="33"/>
        <v>22348</v>
      </c>
      <c r="K28" s="35">
        <f t="shared" si="2"/>
        <v>14944.361602897727</v>
      </c>
      <c r="L28" s="38">
        <f t="shared" si="26"/>
        <v>37292.361602897727</v>
      </c>
      <c r="M28" s="39">
        <f t="shared" si="34"/>
        <v>0.27110109323874043</v>
      </c>
      <c r="N28" s="40">
        <f t="shared" si="27"/>
        <v>0.24449135219236096</v>
      </c>
      <c r="O28" s="51">
        <f t="shared" si="21"/>
        <v>2.6609741046379476E-2</v>
      </c>
      <c r="P28" s="21">
        <f t="shared" si="28"/>
        <v>0.31862437776250602</v>
      </c>
      <c r="Q28" s="21">
        <f t="shared" si="29"/>
        <v>0.5742202654780959</v>
      </c>
      <c r="R28" s="46">
        <v>48</v>
      </c>
      <c r="S28" s="46">
        <v>8060</v>
      </c>
      <c r="T28" s="49">
        <f>VLOOKUP(S28,'Mission Params'!$A$30:$F$41,3)</f>
        <v>0.46500000000000002</v>
      </c>
      <c r="U28" s="23">
        <f>VLOOKUP(S28,'Mission Params'!$A$30:$F$41,4)</f>
        <v>1979</v>
      </c>
      <c r="V28" s="23">
        <f>VLOOKUP(S28,'Mission Params'!$A$30:$F$41,5)</f>
        <v>0.56000000000000005</v>
      </c>
      <c r="W28" s="23">
        <f>VLOOKUP(S28,'Mission Params'!$A$30:$F$41,6)</f>
        <v>0.28359574925796505</v>
      </c>
      <c r="X28" s="23">
        <f t="shared" si="30"/>
        <v>52696</v>
      </c>
    </row>
    <row r="29" spans="1:24" x14ac:dyDescent="0.25">
      <c r="A29" t="s">
        <v>95</v>
      </c>
      <c r="B29" s="35">
        <f t="shared" si="0"/>
        <v>386.88</v>
      </c>
      <c r="C29" s="46">
        <f t="shared" si="9"/>
        <v>32.24</v>
      </c>
      <c r="D29" s="35">
        <f t="shared" si="1"/>
        <v>22.32</v>
      </c>
      <c r="E29" s="50">
        <f t="shared" si="10"/>
        <v>0.56000000000000005</v>
      </c>
      <c r="F29" s="29">
        <f t="shared" si="11"/>
        <v>1979</v>
      </c>
      <c r="G29" s="37">
        <v>4238</v>
      </c>
      <c r="H29" s="37">
        <v>10110</v>
      </c>
      <c r="I29" s="35">
        <v>12000</v>
      </c>
      <c r="J29" s="4">
        <f>SUM(G29:I29)</f>
        <v>26348</v>
      </c>
      <c r="K29" s="35">
        <f t="shared" si="2"/>
        <v>18347.510593993306</v>
      </c>
      <c r="L29" s="38">
        <f t="shared" si="26"/>
        <v>44695.510593993306</v>
      </c>
      <c r="M29" s="39">
        <f>H29/L29</f>
        <v>0.2261972145667511</v>
      </c>
      <c r="N29" s="40">
        <f t="shared" si="27"/>
        <v>0.2393661069955787</v>
      </c>
      <c r="O29" s="51">
        <f t="shared" si="21"/>
        <v>-1.31688924288276E-2</v>
      </c>
      <c r="P29" s="21">
        <f t="shared" si="28"/>
        <v>0.29699722124654077</v>
      </c>
      <c r="Q29" s="21">
        <f t="shared" si="29"/>
        <v>0.60312076902555223</v>
      </c>
      <c r="R29" s="46">
        <v>48</v>
      </c>
      <c r="S29" s="46">
        <v>8060</v>
      </c>
      <c r="T29" s="49">
        <f>VLOOKUP(S29,'Mission Params'!$A$30:$F$41,3)</f>
        <v>0.46500000000000002</v>
      </c>
      <c r="U29" s="23">
        <f>VLOOKUP(S29,'Mission Params'!$A$30:$F$41,4)</f>
        <v>1979</v>
      </c>
      <c r="V29" s="23">
        <f>VLOOKUP(S29,'Mission Params'!$A$30:$F$41,5)</f>
        <v>0.56000000000000005</v>
      </c>
      <c r="W29" s="23">
        <f>VLOOKUP(S29,'Mission Params'!$A$30:$F$41,6)</f>
        <v>0.28359574925796505</v>
      </c>
      <c r="X29" s="23">
        <f t="shared" si="30"/>
        <v>64696</v>
      </c>
    </row>
    <row r="30" spans="1:24" x14ac:dyDescent="0.25">
      <c r="A30" t="s">
        <v>95</v>
      </c>
      <c r="B30" s="35">
        <f t="shared" si="0"/>
        <v>386.88</v>
      </c>
      <c r="C30" s="46">
        <f t="shared" si="9"/>
        <v>32.24</v>
      </c>
      <c r="D30" s="35">
        <f t="shared" si="1"/>
        <v>22.32</v>
      </c>
      <c r="E30" s="50">
        <f t="shared" si="10"/>
        <v>0.56000000000000005</v>
      </c>
      <c r="F30" s="29">
        <f t="shared" si="11"/>
        <v>1979</v>
      </c>
      <c r="G30" s="37">
        <v>4238</v>
      </c>
      <c r="H30" s="37">
        <v>10110</v>
      </c>
      <c r="I30" s="35">
        <v>16000</v>
      </c>
      <c r="J30" s="8">
        <f t="shared" ref="J30:J31" si="35">SUM(G30:I30)</f>
        <v>30348</v>
      </c>
      <c r="K30" s="35">
        <f t="shared" si="2"/>
        <v>21750.659585088888</v>
      </c>
      <c r="L30" s="38">
        <f t="shared" si="26"/>
        <v>52098.659585088884</v>
      </c>
      <c r="M30" s="39">
        <f t="shared" ref="M30:M31" si="36">H30/L30</f>
        <v>0.19405489662335909</v>
      </c>
      <c r="N30" s="40">
        <f t="shared" si="27"/>
        <v>0.2338545593292394</v>
      </c>
      <c r="O30" s="51">
        <f t="shared" si="21"/>
        <v>-3.9799662705880312E-2</v>
      </c>
      <c r="P30" s="21">
        <f t="shared" si="28"/>
        <v>0.27907921610123759</v>
      </c>
      <c r="Q30" s="21">
        <f t="shared" si="29"/>
        <v>0.62706471056418689</v>
      </c>
      <c r="R30" s="46">
        <v>48</v>
      </c>
      <c r="S30" s="46">
        <v>8060</v>
      </c>
      <c r="T30" s="49">
        <f>VLOOKUP(S30,'Mission Params'!$A$30:$F$41,3)</f>
        <v>0.46500000000000002</v>
      </c>
      <c r="U30" s="23">
        <f>VLOOKUP(S30,'Mission Params'!$A$30:$F$41,4)</f>
        <v>1979</v>
      </c>
      <c r="V30" s="23">
        <f>VLOOKUP(S30,'Mission Params'!$A$30:$F$41,5)</f>
        <v>0.56000000000000005</v>
      </c>
      <c r="W30" s="23">
        <f>VLOOKUP(S30,'Mission Params'!$A$30:$F$41,6)</f>
        <v>0.28359574925796505</v>
      </c>
      <c r="X30" s="23">
        <f t="shared" si="30"/>
        <v>76696</v>
      </c>
    </row>
    <row r="31" spans="1:24" s="79" customFormat="1" ht="15.75" thickBot="1" x14ac:dyDescent="0.3">
      <c r="A31" s="79" t="s">
        <v>95</v>
      </c>
      <c r="B31" s="69">
        <f t="shared" si="0"/>
        <v>386.88</v>
      </c>
      <c r="C31" s="77">
        <f t="shared" si="9"/>
        <v>32.24</v>
      </c>
      <c r="D31" s="69">
        <f t="shared" si="1"/>
        <v>22.32</v>
      </c>
      <c r="E31" s="70">
        <f t="shared" si="10"/>
        <v>0.56000000000000005</v>
      </c>
      <c r="F31" s="71">
        <f t="shared" si="11"/>
        <v>1979</v>
      </c>
      <c r="G31" s="80">
        <v>4238</v>
      </c>
      <c r="H31" s="80">
        <v>10110</v>
      </c>
      <c r="I31" s="69">
        <v>24000</v>
      </c>
      <c r="J31" s="84">
        <f t="shared" si="35"/>
        <v>38348</v>
      </c>
      <c r="K31" s="69">
        <f t="shared" si="2"/>
        <v>28556.957567280049</v>
      </c>
      <c r="L31" s="74">
        <f t="shared" si="26"/>
        <v>66904.957567280042</v>
      </c>
      <c r="M31" s="81">
        <f t="shared" si="36"/>
        <v>0.15110987836489279</v>
      </c>
      <c r="N31" s="81">
        <f t="shared" si="27"/>
        <v>0.22292412123598296</v>
      </c>
      <c r="O31" s="76">
        <f t="shared" si="21"/>
        <v>-7.1814242871090173E-2</v>
      </c>
      <c r="P31" s="75">
        <f t="shared" si="28"/>
        <v>0.25102966716360281</v>
      </c>
      <c r="Q31" s="75">
        <f t="shared" si="29"/>
        <v>0.66454749698496496</v>
      </c>
      <c r="R31" s="77">
        <v>48</v>
      </c>
      <c r="S31" s="77">
        <v>8060</v>
      </c>
      <c r="T31" s="78">
        <f>VLOOKUP(S31,'Mission Params'!$A$30:$F$41,3)</f>
        <v>0.46500000000000002</v>
      </c>
      <c r="U31" s="68">
        <f>VLOOKUP(S31,'Mission Params'!$A$30:$F$41,4)</f>
        <v>1979</v>
      </c>
      <c r="V31" s="68">
        <f>VLOOKUP(S31,'Mission Params'!$A$30:$F$41,5)</f>
        <v>0.56000000000000005</v>
      </c>
      <c r="W31" s="68">
        <f>VLOOKUP(S31,'Mission Params'!$A$30:$F$41,6)</f>
        <v>0.28359574925796505</v>
      </c>
      <c r="X31" s="68">
        <f t="shared" si="30"/>
        <v>100696</v>
      </c>
    </row>
    <row r="32" spans="1:24" x14ac:dyDescent="0.25">
      <c r="A32" t="s">
        <v>96</v>
      </c>
      <c r="B32" s="35">
        <f t="shared" si="0"/>
        <v>260.03199999999998</v>
      </c>
      <c r="C32" s="46">
        <f t="shared" si="9"/>
        <v>16.251999999999999</v>
      </c>
      <c r="D32" s="35">
        <f t="shared" si="1"/>
        <v>15.68</v>
      </c>
      <c r="E32" s="50">
        <f t="shared" si="10"/>
        <v>0.56999999999999995</v>
      </c>
      <c r="F32" s="29">
        <f t="shared" si="11"/>
        <v>1927</v>
      </c>
      <c r="G32" s="37">
        <v>5085</v>
      </c>
      <c r="H32" s="37">
        <v>5928</v>
      </c>
      <c r="I32" s="35">
        <v>12000</v>
      </c>
      <c r="J32" s="11">
        <f t="shared" ref="J32:J35" si="37">SUM(G32:I32)</f>
        <v>23013</v>
      </c>
      <c r="K32" s="35">
        <f t="shared" si="2"/>
        <v>16959.421223036548</v>
      </c>
      <c r="L32" s="11">
        <f>SUM(J32:K32)</f>
        <v>39972.421223036552</v>
      </c>
      <c r="M32" s="39">
        <f t="shared" ref="M32:M35" si="38">H32/L32</f>
        <v>0.14830224986680635</v>
      </c>
      <c r="N32" s="40">
        <f t="shared" ref="N32:N43" si="39">Q32*(1-Q32)</f>
        <v>0.22130103907394486</v>
      </c>
      <c r="O32" s="51">
        <f t="shared" si="21"/>
        <v>-7.2998789207138509E-2</v>
      </c>
      <c r="P32" s="21">
        <f t="shared" ref="P32:P43" si="40">SQRT(E32*H32*(1/J32 - 1/L32))</f>
        <v>0.24959173064605758</v>
      </c>
      <c r="Q32" s="21">
        <f t="shared" ref="Q32:Q43" si="41">1-(P32/SQRT(E32))</f>
        <v>0.66940767670343382</v>
      </c>
      <c r="R32" s="12">
        <v>64</v>
      </c>
      <c r="S32" s="46">
        <v>4063</v>
      </c>
      <c r="T32" s="49">
        <f>VLOOKUP(S32,'Mission Params'!$A$30:$F$41,3)</f>
        <v>0.245</v>
      </c>
      <c r="U32" s="23">
        <f>VLOOKUP(S32,'Mission Params'!$A$30:$F$41,4)</f>
        <v>1927</v>
      </c>
      <c r="V32" s="23">
        <f>VLOOKUP(S32,'Mission Params'!$A$30:$F$41,5)</f>
        <v>0.56999999999999995</v>
      </c>
      <c r="W32" s="23">
        <f>VLOOKUP(S32,'Mission Params'!$A$30:$F$41,6)</f>
        <v>0.29227279535099004</v>
      </c>
      <c r="X32" s="23">
        <f t="shared" ref="X32:X43" si="42">(I32+2*J32)</f>
        <v>58026</v>
      </c>
    </row>
    <row r="33" spans="1:24" x14ac:dyDescent="0.25">
      <c r="A33" t="s">
        <v>96</v>
      </c>
      <c r="B33" s="35">
        <f t="shared" si="0"/>
        <v>260.03199999999998</v>
      </c>
      <c r="C33" s="46">
        <f t="shared" si="9"/>
        <v>16.251999999999999</v>
      </c>
      <c r="D33" s="35">
        <f t="shared" si="1"/>
        <v>15.68</v>
      </c>
      <c r="E33" s="50">
        <f t="shared" si="10"/>
        <v>0.56999999999999995</v>
      </c>
      <c r="F33" s="29">
        <f t="shared" si="11"/>
        <v>1927</v>
      </c>
      <c r="G33" s="37">
        <v>5085</v>
      </c>
      <c r="H33" s="37">
        <v>5928</v>
      </c>
      <c r="I33" s="35">
        <v>16000</v>
      </c>
      <c r="J33" s="11">
        <f t="shared" si="37"/>
        <v>27013</v>
      </c>
      <c r="K33" s="35">
        <f t="shared" si="2"/>
        <v>20466.694767248428</v>
      </c>
      <c r="L33" s="11">
        <f t="shared" ref="L33:L34" si="43">SUM(J33:K33)</f>
        <v>47479.694767248424</v>
      </c>
      <c r="M33" s="39">
        <f t="shared" si="38"/>
        <v>0.12485337214276164</v>
      </c>
      <c r="N33" s="40">
        <f t="shared" si="39"/>
        <v>0.21296895417647074</v>
      </c>
      <c r="O33" s="51">
        <f t="shared" si="21"/>
        <v>-8.8115582033709103E-2</v>
      </c>
      <c r="P33" s="21">
        <f t="shared" si="40"/>
        <v>0.23220684257987401</v>
      </c>
      <c r="Q33" s="21">
        <f t="shared" si="41"/>
        <v>0.69243452347104784</v>
      </c>
      <c r="R33" s="12">
        <v>64</v>
      </c>
      <c r="S33" s="46">
        <v>4063</v>
      </c>
      <c r="T33" s="49">
        <f>VLOOKUP(S33,'Mission Params'!$A$30:$F$41,3)</f>
        <v>0.245</v>
      </c>
      <c r="U33" s="23">
        <f>VLOOKUP(S33,'Mission Params'!$A$30:$F$41,4)</f>
        <v>1927</v>
      </c>
      <c r="V33" s="23">
        <f>VLOOKUP(S33,'Mission Params'!$A$30:$F$41,5)</f>
        <v>0.56999999999999995</v>
      </c>
      <c r="W33" s="23">
        <f>VLOOKUP(S33,'Mission Params'!$A$30:$F$41,6)</f>
        <v>0.29227279535099004</v>
      </c>
      <c r="X33" s="23">
        <f t="shared" si="42"/>
        <v>70026</v>
      </c>
    </row>
    <row r="34" spans="1:24" x14ac:dyDescent="0.25">
      <c r="A34" t="s">
        <v>96</v>
      </c>
      <c r="B34" s="35">
        <f t="shared" si="0"/>
        <v>260.03199999999998</v>
      </c>
      <c r="C34" s="46">
        <f t="shared" si="9"/>
        <v>16.251999999999999</v>
      </c>
      <c r="D34" s="35">
        <f t="shared" si="1"/>
        <v>15.68</v>
      </c>
      <c r="E34" s="50">
        <f t="shared" si="10"/>
        <v>0.56999999999999995</v>
      </c>
      <c r="F34" s="29">
        <f t="shared" si="11"/>
        <v>1927</v>
      </c>
      <c r="G34" s="37">
        <v>5085</v>
      </c>
      <c r="H34" s="37">
        <v>5928</v>
      </c>
      <c r="I34" s="35">
        <v>24000</v>
      </c>
      <c r="J34" s="11">
        <f t="shared" si="37"/>
        <v>35013</v>
      </c>
      <c r="K34" s="35">
        <f t="shared" si="2"/>
        <v>27481.24185567219</v>
      </c>
      <c r="L34" s="11">
        <f t="shared" si="43"/>
        <v>62494.24185567219</v>
      </c>
      <c r="M34" s="39">
        <f t="shared" si="38"/>
        <v>9.4856739180714689E-2</v>
      </c>
      <c r="N34" s="40">
        <f t="shared" si="39"/>
        <v>0.1984067742223895</v>
      </c>
      <c r="O34" s="51">
        <f t="shared" si="21"/>
        <v>-0.10355003504167481</v>
      </c>
      <c r="P34" s="21">
        <f t="shared" si="40"/>
        <v>0.20600370849952543</v>
      </c>
      <c r="Q34" s="21">
        <f t="shared" si="41"/>
        <v>0.72714142241698343</v>
      </c>
      <c r="R34" s="12">
        <v>64</v>
      </c>
      <c r="S34" s="46">
        <v>4063</v>
      </c>
      <c r="T34" s="49">
        <f>VLOOKUP(S34,'Mission Params'!$A$30:$F$41,3)</f>
        <v>0.245</v>
      </c>
      <c r="U34" s="23">
        <f>VLOOKUP(S34,'Mission Params'!$A$30:$F$41,4)</f>
        <v>1927</v>
      </c>
      <c r="V34" s="23">
        <f>VLOOKUP(S34,'Mission Params'!$A$30:$F$41,5)</f>
        <v>0.56999999999999995</v>
      </c>
      <c r="W34" s="23">
        <f>VLOOKUP(S34,'Mission Params'!$A$30:$F$41,6)</f>
        <v>0.29227279535099004</v>
      </c>
      <c r="X34" s="23">
        <f t="shared" si="42"/>
        <v>94026</v>
      </c>
    </row>
    <row r="35" spans="1:24" s="79" customFormat="1" ht="15.75" thickBot="1" x14ac:dyDescent="0.3">
      <c r="A35" s="79" t="s">
        <v>96</v>
      </c>
      <c r="B35" s="69">
        <f t="shared" si="0"/>
        <v>260.03199999999998</v>
      </c>
      <c r="C35" s="77">
        <f t="shared" si="9"/>
        <v>16.251999999999999</v>
      </c>
      <c r="D35" s="69">
        <f t="shared" si="1"/>
        <v>15.68</v>
      </c>
      <c r="E35" s="70">
        <f t="shared" si="10"/>
        <v>0.56999999999999995</v>
      </c>
      <c r="F35" s="71">
        <f t="shared" si="11"/>
        <v>1927</v>
      </c>
      <c r="G35" s="80">
        <v>5085</v>
      </c>
      <c r="H35" s="80">
        <v>5928</v>
      </c>
      <c r="I35" s="69">
        <v>36000</v>
      </c>
      <c r="J35" s="71">
        <f t="shared" si="37"/>
        <v>47013</v>
      </c>
      <c r="K35" s="69">
        <f t="shared" si="2"/>
        <v>38003.062488307834</v>
      </c>
      <c r="L35" s="71">
        <f>SUM(J35:K35)</f>
        <v>85016.062488307827</v>
      </c>
      <c r="M35" s="81">
        <f t="shared" si="38"/>
        <v>6.9727999939014726E-2</v>
      </c>
      <c r="N35" s="81">
        <f t="shared" si="39"/>
        <v>0.18104790190085457</v>
      </c>
      <c r="O35" s="76">
        <f t="shared" si="21"/>
        <v>-0.11131990196183984</v>
      </c>
      <c r="P35" s="75">
        <f t="shared" si="40"/>
        <v>0.17924264631421064</v>
      </c>
      <c r="Q35" s="75">
        <f t="shared" si="41"/>
        <v>0.76258731519086265</v>
      </c>
      <c r="R35" s="82">
        <v>64</v>
      </c>
      <c r="S35" s="77">
        <v>4063</v>
      </c>
      <c r="T35" s="78">
        <f>VLOOKUP(S35,'Mission Params'!$A$30:$F$41,3)</f>
        <v>0.245</v>
      </c>
      <c r="U35" s="68">
        <f>VLOOKUP(S35,'Mission Params'!$A$30:$F$41,4)</f>
        <v>1927</v>
      </c>
      <c r="V35" s="68">
        <f>VLOOKUP(S35,'Mission Params'!$A$30:$F$41,5)</f>
        <v>0.56999999999999995</v>
      </c>
      <c r="W35" s="68">
        <f>VLOOKUP(S35,'Mission Params'!$A$30:$F$41,6)</f>
        <v>0.29227279535099004</v>
      </c>
      <c r="X35" s="68">
        <f t="shared" si="42"/>
        <v>130026</v>
      </c>
    </row>
    <row r="36" spans="1:24" x14ac:dyDescent="0.25">
      <c r="A36" t="s">
        <v>97</v>
      </c>
      <c r="B36" s="35">
        <f t="shared" si="0"/>
        <v>383.93600000000004</v>
      </c>
      <c r="C36" s="46">
        <f t="shared" si="9"/>
        <v>23.996000000000002</v>
      </c>
      <c r="D36" s="35">
        <f t="shared" si="1"/>
        <v>23.36</v>
      </c>
      <c r="E36" s="50">
        <f t="shared" si="10"/>
        <v>0.56999999999999995</v>
      </c>
      <c r="F36" s="29">
        <f t="shared" si="11"/>
        <v>1977</v>
      </c>
      <c r="G36" s="37">
        <v>5190</v>
      </c>
      <c r="H36" s="37">
        <v>10225</v>
      </c>
      <c r="I36" s="35">
        <v>12000</v>
      </c>
      <c r="J36" s="8">
        <f>SUM(G36:I36)</f>
        <v>27415</v>
      </c>
      <c r="K36" s="35">
        <f t="shared" si="2"/>
        <v>18974.372785812368</v>
      </c>
      <c r="L36" s="11">
        <f t="shared" ref="L36:L43" si="44">SUM(J36:K36)</f>
        <v>46389.372785812368</v>
      </c>
      <c r="M36" s="39">
        <f>H36/L36</f>
        <v>0.22041686243982142</v>
      </c>
      <c r="N36" s="40">
        <f t="shared" si="39"/>
        <v>0.23802765648501395</v>
      </c>
      <c r="O36" s="51">
        <f t="shared" si="21"/>
        <v>-1.7610794045192529E-2</v>
      </c>
      <c r="P36" s="21">
        <f t="shared" si="40"/>
        <v>0.29488278881108948</v>
      </c>
      <c r="Q36" s="21">
        <f t="shared" si="41"/>
        <v>0.60941820467813412</v>
      </c>
      <c r="R36" s="12">
        <v>64</v>
      </c>
      <c r="S36" s="46">
        <v>5999</v>
      </c>
      <c r="T36" s="49">
        <f>VLOOKUP(S36,'Mission Params'!$A$30:$F$41,3)</f>
        <v>0.36499999999999999</v>
      </c>
      <c r="U36" s="23">
        <f>VLOOKUP(S36,'Mission Params'!$A$30:$F$41,4)</f>
        <v>1977</v>
      </c>
      <c r="V36" s="23">
        <f>VLOOKUP(S36,'Mission Params'!$A$30:$F$41,5)</f>
        <v>0.56999999999999995</v>
      </c>
      <c r="W36" s="23">
        <f>VLOOKUP(S36,'Mission Params'!$A$30:$F$41,6)</f>
        <v>0.28391998781703376</v>
      </c>
      <c r="X36" s="23">
        <f t="shared" si="42"/>
        <v>66830</v>
      </c>
    </row>
    <row r="37" spans="1:24" x14ac:dyDescent="0.25">
      <c r="A37" t="s">
        <v>97</v>
      </c>
      <c r="B37" s="35">
        <f t="shared" si="0"/>
        <v>383.93600000000004</v>
      </c>
      <c r="C37" s="46">
        <f t="shared" si="9"/>
        <v>23.996000000000002</v>
      </c>
      <c r="D37" s="35">
        <f t="shared" si="1"/>
        <v>23.36</v>
      </c>
      <c r="E37" s="50">
        <f t="shared" si="10"/>
        <v>0.56999999999999995</v>
      </c>
      <c r="F37" s="29">
        <f t="shared" si="11"/>
        <v>1977</v>
      </c>
      <c r="G37" s="37">
        <v>5190</v>
      </c>
      <c r="H37" s="37">
        <v>10225</v>
      </c>
      <c r="I37" s="35">
        <v>16000</v>
      </c>
      <c r="J37" s="8">
        <f>SUM(G37:I37)</f>
        <v>31415</v>
      </c>
      <c r="K37" s="35">
        <f t="shared" si="2"/>
        <v>22381.41263961677</v>
      </c>
      <c r="L37" s="11">
        <f t="shared" si="44"/>
        <v>53796.41263961677</v>
      </c>
      <c r="M37" s="39">
        <f>H37/L37</f>
        <v>0.19006843576164598</v>
      </c>
      <c r="N37" s="40">
        <f t="shared" si="39"/>
        <v>0.23257206198728675</v>
      </c>
      <c r="O37" s="51">
        <f t="shared" si="21"/>
        <v>-4.2503626225640773E-2</v>
      </c>
      <c r="P37" s="21">
        <f t="shared" si="40"/>
        <v>0.27782264598149492</v>
      </c>
      <c r="Q37" s="21">
        <f t="shared" si="41"/>
        <v>0.63201491587208336</v>
      </c>
      <c r="R37" s="12">
        <v>64</v>
      </c>
      <c r="S37" s="46">
        <v>5999</v>
      </c>
      <c r="T37" s="49">
        <f>VLOOKUP(S37,'Mission Params'!$A$30:$F$41,3)</f>
        <v>0.36499999999999999</v>
      </c>
      <c r="U37" s="23">
        <f>VLOOKUP(S37,'Mission Params'!$A$30:$F$41,4)</f>
        <v>1977</v>
      </c>
      <c r="V37" s="23">
        <f>VLOOKUP(S37,'Mission Params'!$A$30:$F$41,5)</f>
        <v>0.56999999999999995</v>
      </c>
      <c r="W37" s="23">
        <f>VLOOKUP(S37,'Mission Params'!$A$30:$F$41,6)</f>
        <v>0.28391998781703376</v>
      </c>
      <c r="X37" s="23">
        <f t="shared" si="42"/>
        <v>78830</v>
      </c>
    </row>
    <row r="38" spans="1:24" x14ac:dyDescent="0.25">
      <c r="A38" t="s">
        <v>97</v>
      </c>
      <c r="B38" s="35">
        <f t="shared" si="0"/>
        <v>383.93600000000004</v>
      </c>
      <c r="C38" s="46">
        <f t="shared" si="9"/>
        <v>23.996000000000002</v>
      </c>
      <c r="D38" s="35">
        <f t="shared" si="1"/>
        <v>23.36</v>
      </c>
      <c r="E38" s="50">
        <f t="shared" si="10"/>
        <v>0.56999999999999995</v>
      </c>
      <c r="F38" s="29">
        <f t="shared" si="11"/>
        <v>1977</v>
      </c>
      <c r="G38" s="37">
        <v>5190</v>
      </c>
      <c r="H38" s="37">
        <v>10225</v>
      </c>
      <c r="I38" s="35">
        <v>24000</v>
      </c>
      <c r="J38" s="8">
        <f t="shared" ref="J38:J39" si="45">SUM(G38:I38)</f>
        <v>39415</v>
      </c>
      <c r="K38" s="35">
        <f t="shared" si="2"/>
        <v>29195.492347225583</v>
      </c>
      <c r="L38" s="11">
        <f t="shared" si="44"/>
        <v>68610.492347225576</v>
      </c>
      <c r="M38" s="39">
        <f t="shared" ref="M38:M39" si="46">H38/L38</f>
        <v>0.14902968409340486</v>
      </c>
      <c r="N38" s="40">
        <f t="shared" si="39"/>
        <v>0.22185956202300791</v>
      </c>
      <c r="O38" s="51">
        <f t="shared" si="21"/>
        <v>-7.2829877929603049E-2</v>
      </c>
      <c r="P38" s="21">
        <f t="shared" si="40"/>
        <v>0.25084240417009174</v>
      </c>
      <c r="Q38" s="21">
        <f t="shared" si="41"/>
        <v>0.667751119152726</v>
      </c>
      <c r="R38" s="12">
        <v>64</v>
      </c>
      <c r="S38" s="46">
        <v>5999</v>
      </c>
      <c r="T38" s="49">
        <f>VLOOKUP(S38,'Mission Params'!$A$30:$F$41,3)</f>
        <v>0.36499999999999999</v>
      </c>
      <c r="U38" s="23">
        <f>VLOOKUP(S38,'Mission Params'!$A$30:$F$41,4)</f>
        <v>1977</v>
      </c>
      <c r="V38" s="23">
        <f>VLOOKUP(S38,'Mission Params'!$A$30:$F$41,5)</f>
        <v>0.56999999999999995</v>
      </c>
      <c r="W38" s="23">
        <f>VLOOKUP(S38,'Mission Params'!$A$30:$F$41,6)</f>
        <v>0.28391998781703376</v>
      </c>
      <c r="X38" s="23">
        <f t="shared" si="42"/>
        <v>102830</v>
      </c>
    </row>
    <row r="39" spans="1:24" s="79" customFormat="1" ht="15.75" thickBot="1" x14ac:dyDescent="0.3">
      <c r="A39" s="79" t="s">
        <v>97</v>
      </c>
      <c r="B39" s="69">
        <f t="shared" si="0"/>
        <v>383.93600000000004</v>
      </c>
      <c r="C39" s="77">
        <f t="shared" si="9"/>
        <v>23.996000000000002</v>
      </c>
      <c r="D39" s="69">
        <f t="shared" si="1"/>
        <v>23.36</v>
      </c>
      <c r="E39" s="70">
        <f t="shared" si="10"/>
        <v>0.56999999999999995</v>
      </c>
      <c r="F39" s="71">
        <f t="shared" si="11"/>
        <v>1977</v>
      </c>
      <c r="G39" s="80">
        <v>5190</v>
      </c>
      <c r="H39" s="80">
        <v>10225</v>
      </c>
      <c r="I39" s="69">
        <v>36000</v>
      </c>
      <c r="J39" s="84">
        <f t="shared" si="45"/>
        <v>51415</v>
      </c>
      <c r="K39" s="69">
        <f t="shared" si="2"/>
        <v>39416.611908638799</v>
      </c>
      <c r="L39" s="71">
        <f t="shared" si="44"/>
        <v>90831.611908638792</v>
      </c>
      <c r="M39" s="81">
        <f t="shared" si="46"/>
        <v>0.11257094072363945</v>
      </c>
      <c r="N39" s="81">
        <f t="shared" si="39"/>
        <v>0.20746930708209432</v>
      </c>
      <c r="O39" s="76">
        <f t="shared" si="21"/>
        <v>-9.4898366358454875E-2</v>
      </c>
      <c r="P39" s="75">
        <f t="shared" si="40"/>
        <v>0.22179170582517524</v>
      </c>
      <c r="Q39" s="75">
        <f t="shared" si="41"/>
        <v>0.70622970910590377</v>
      </c>
      <c r="R39" s="82">
        <v>64</v>
      </c>
      <c r="S39" s="77">
        <v>5999</v>
      </c>
      <c r="T39" s="78">
        <f>VLOOKUP(S39,'Mission Params'!$A$30:$F$41,3)</f>
        <v>0.36499999999999999</v>
      </c>
      <c r="U39" s="68">
        <f>VLOOKUP(S39,'Mission Params'!$A$30:$F$41,4)</f>
        <v>1977</v>
      </c>
      <c r="V39" s="68">
        <f>VLOOKUP(S39,'Mission Params'!$A$30:$F$41,5)</f>
        <v>0.56999999999999995</v>
      </c>
      <c r="W39" s="68">
        <f>VLOOKUP(S39,'Mission Params'!$A$30:$F$41,6)</f>
        <v>0.28391998781703376</v>
      </c>
      <c r="X39" s="68">
        <f t="shared" si="42"/>
        <v>138830</v>
      </c>
    </row>
    <row r="40" spans="1:24" x14ac:dyDescent="0.25">
      <c r="A40" t="s">
        <v>99</v>
      </c>
      <c r="B40" s="35">
        <f t="shared" si="0"/>
        <v>515.84</v>
      </c>
      <c r="C40" s="46">
        <f t="shared" si="9"/>
        <v>32.24</v>
      </c>
      <c r="D40" s="35">
        <f t="shared" si="1"/>
        <v>29.76</v>
      </c>
      <c r="E40" s="50">
        <f t="shared" si="10"/>
        <v>0.56000000000000005</v>
      </c>
      <c r="F40" s="29">
        <f t="shared" si="11"/>
        <v>1979</v>
      </c>
      <c r="G40" s="12">
        <v>5297</v>
      </c>
      <c r="H40" s="12">
        <v>15720</v>
      </c>
      <c r="I40" s="35">
        <v>12000</v>
      </c>
      <c r="J40" s="8">
        <f>SUM(G40:I40)</f>
        <v>33017</v>
      </c>
      <c r="K40" s="35">
        <f t="shared" si="2"/>
        <v>22130.110697596043</v>
      </c>
      <c r="L40" s="11">
        <f t="shared" si="44"/>
        <v>55147.110697596043</v>
      </c>
      <c r="M40" s="39">
        <f>H40/L40</f>
        <v>0.28505573186239946</v>
      </c>
      <c r="N40" s="40">
        <f t="shared" si="39"/>
        <v>0.24604448522089187</v>
      </c>
      <c r="O40" s="51">
        <f t="shared" si="21"/>
        <v>3.9011246641507596E-2</v>
      </c>
      <c r="P40" s="21">
        <f t="shared" si="40"/>
        <v>0.32710101434695155</v>
      </c>
      <c r="Q40" s="21">
        <f t="shared" si="41"/>
        <v>0.56289288337409993</v>
      </c>
      <c r="R40" s="12">
        <v>64</v>
      </c>
      <c r="S40" s="46">
        <v>8060</v>
      </c>
      <c r="T40" s="49">
        <f>VLOOKUP(S40,'Mission Params'!$A$30:$F$41,3)</f>
        <v>0.46500000000000002</v>
      </c>
      <c r="U40" s="23">
        <f>VLOOKUP(S40,'Mission Params'!$A$30:$F$41,4)</f>
        <v>1979</v>
      </c>
      <c r="V40" s="23">
        <f>VLOOKUP(S40,'Mission Params'!$A$30:$F$41,5)</f>
        <v>0.56000000000000005</v>
      </c>
      <c r="W40" s="23">
        <f>VLOOKUP(S40,'Mission Params'!$A$30:$F$41,6)</f>
        <v>0.28359574925796505</v>
      </c>
      <c r="X40" s="23">
        <f t="shared" si="42"/>
        <v>78034</v>
      </c>
    </row>
    <row r="41" spans="1:24" x14ac:dyDescent="0.25">
      <c r="A41" t="s">
        <v>99</v>
      </c>
      <c r="B41" s="35">
        <f t="shared" si="0"/>
        <v>515.84</v>
      </c>
      <c r="C41" s="46">
        <f t="shared" si="9"/>
        <v>32.24</v>
      </c>
      <c r="D41" s="35">
        <f t="shared" si="1"/>
        <v>29.76</v>
      </c>
      <c r="E41" s="50">
        <f t="shared" si="10"/>
        <v>0.56000000000000005</v>
      </c>
      <c r="F41" s="29">
        <f t="shared" si="11"/>
        <v>1979</v>
      </c>
      <c r="G41" s="12">
        <v>5297</v>
      </c>
      <c r="H41" s="12">
        <v>15720</v>
      </c>
      <c r="I41" s="35">
        <v>16000</v>
      </c>
      <c r="J41" s="8">
        <f t="shared" ref="J41:J43" si="47">SUM(G41:I41)</f>
        <v>37017</v>
      </c>
      <c r="K41" s="35">
        <f t="shared" si="2"/>
        <v>25533.259688691625</v>
      </c>
      <c r="L41" s="11">
        <f t="shared" si="44"/>
        <v>62550.259688691629</v>
      </c>
      <c r="M41" s="39">
        <f t="shared" ref="M41:M43" si="48">H41/L41</f>
        <v>0.25131790144816929</v>
      </c>
      <c r="N41" s="40">
        <f t="shared" si="39"/>
        <v>0.24300358606904979</v>
      </c>
      <c r="O41" s="51">
        <f t="shared" si="21"/>
        <v>8.3143153791195024E-3</v>
      </c>
      <c r="P41" s="21">
        <f t="shared" si="40"/>
        <v>0.31157187475023185</v>
      </c>
      <c r="Q41" s="21">
        <f t="shared" si="41"/>
        <v>0.58364456904635353</v>
      </c>
      <c r="R41" s="12">
        <v>64</v>
      </c>
      <c r="S41" s="46">
        <v>8060</v>
      </c>
      <c r="T41" s="49">
        <f>VLOOKUP(S41,'Mission Params'!$A$30:$F$41,3)</f>
        <v>0.46500000000000002</v>
      </c>
      <c r="U41" s="23">
        <f>VLOOKUP(S41,'Mission Params'!$A$30:$F$41,4)</f>
        <v>1979</v>
      </c>
      <c r="V41" s="23">
        <f>VLOOKUP(S41,'Mission Params'!$A$30:$F$41,5)</f>
        <v>0.56000000000000005</v>
      </c>
      <c r="W41" s="23">
        <f>VLOOKUP(S41,'Mission Params'!$A$30:$F$41,6)</f>
        <v>0.28359574925796505</v>
      </c>
      <c r="X41" s="23">
        <f t="shared" si="42"/>
        <v>90034</v>
      </c>
    </row>
    <row r="42" spans="1:24" x14ac:dyDescent="0.25">
      <c r="A42" t="s">
        <v>99</v>
      </c>
      <c r="B42" s="35">
        <f t="shared" si="0"/>
        <v>515.84</v>
      </c>
      <c r="C42" s="46">
        <f t="shared" si="9"/>
        <v>32.24</v>
      </c>
      <c r="D42" s="35">
        <f t="shared" si="1"/>
        <v>29.76</v>
      </c>
      <c r="E42" s="50">
        <f t="shared" si="10"/>
        <v>0.56000000000000005</v>
      </c>
      <c r="F42" s="29">
        <f t="shared" si="11"/>
        <v>1979</v>
      </c>
      <c r="G42" s="12">
        <v>5297</v>
      </c>
      <c r="H42" s="12">
        <v>15720</v>
      </c>
      <c r="I42" s="35">
        <v>24000</v>
      </c>
      <c r="J42" s="8">
        <f t="shared" si="47"/>
        <v>45017</v>
      </c>
      <c r="K42" s="35">
        <f t="shared" si="2"/>
        <v>32339.557670882787</v>
      </c>
      <c r="L42" s="11">
        <f t="shared" si="44"/>
        <v>77356.557670882787</v>
      </c>
      <c r="M42" s="39">
        <f t="shared" si="48"/>
        <v>0.20321483366518842</v>
      </c>
      <c r="N42" s="40">
        <f t="shared" si="39"/>
        <v>0.23609532194756028</v>
      </c>
      <c r="O42" s="51">
        <f t="shared" si="21"/>
        <v>-3.2880488282371861E-2</v>
      </c>
      <c r="P42" s="21">
        <f t="shared" si="40"/>
        <v>0.28592391350720486</v>
      </c>
      <c r="Q42" s="21">
        <f t="shared" si="41"/>
        <v>0.61791809891801908</v>
      </c>
      <c r="R42" s="12">
        <v>64</v>
      </c>
      <c r="S42" s="46">
        <v>8060</v>
      </c>
      <c r="T42" s="49">
        <f>VLOOKUP(S42,'Mission Params'!$A$30:$F$41,3)</f>
        <v>0.46500000000000002</v>
      </c>
      <c r="U42" s="23">
        <f>VLOOKUP(S42,'Mission Params'!$A$30:$F$41,4)</f>
        <v>1979</v>
      </c>
      <c r="V42" s="23">
        <f>VLOOKUP(S42,'Mission Params'!$A$30:$F$41,5)</f>
        <v>0.56000000000000005</v>
      </c>
      <c r="W42" s="23">
        <f>VLOOKUP(S42,'Mission Params'!$A$30:$F$41,6)</f>
        <v>0.28359574925796505</v>
      </c>
      <c r="X42" s="23">
        <f t="shared" si="42"/>
        <v>114034</v>
      </c>
    </row>
    <row r="43" spans="1:24" s="79" customFormat="1" ht="15.75" thickBot="1" x14ac:dyDescent="0.3">
      <c r="A43" s="79" t="s">
        <v>99</v>
      </c>
      <c r="B43" s="69">
        <f t="shared" si="0"/>
        <v>515.84</v>
      </c>
      <c r="C43" s="77">
        <f t="shared" si="9"/>
        <v>32.24</v>
      </c>
      <c r="D43" s="69">
        <f t="shared" si="1"/>
        <v>29.76</v>
      </c>
      <c r="E43" s="70">
        <f t="shared" si="10"/>
        <v>0.56000000000000005</v>
      </c>
      <c r="F43" s="71">
        <f t="shared" si="11"/>
        <v>1979</v>
      </c>
      <c r="G43" s="82">
        <v>5297</v>
      </c>
      <c r="H43" s="82">
        <v>15720</v>
      </c>
      <c r="I43" s="69">
        <v>36000</v>
      </c>
      <c r="J43" s="84">
        <f t="shared" si="47"/>
        <v>57017</v>
      </c>
      <c r="K43" s="69">
        <f t="shared" si="2"/>
        <v>42549.00464416953</v>
      </c>
      <c r="L43" s="71">
        <f t="shared" si="44"/>
        <v>99566.00464416953</v>
      </c>
      <c r="M43" s="81">
        <f t="shared" si="48"/>
        <v>0.15788521449846632</v>
      </c>
      <c r="N43" s="81">
        <f t="shared" si="39"/>
        <v>0.22543010797193</v>
      </c>
      <c r="O43" s="76">
        <f t="shared" si="21"/>
        <v>-6.754489347346368E-2</v>
      </c>
      <c r="P43" s="75">
        <f t="shared" si="40"/>
        <v>0.25686638004436835</v>
      </c>
      <c r="Q43" s="75">
        <f t="shared" si="41"/>
        <v>0.65674786131896667</v>
      </c>
      <c r="R43" s="82">
        <v>64</v>
      </c>
      <c r="S43" s="77">
        <v>8060</v>
      </c>
      <c r="T43" s="78">
        <f>VLOOKUP(S43,'Mission Params'!$A$30:$F$41,3)</f>
        <v>0.46500000000000002</v>
      </c>
      <c r="U43" s="68">
        <f>VLOOKUP(S43,'Mission Params'!$A$30:$F$41,4)</f>
        <v>1979</v>
      </c>
      <c r="V43" s="68">
        <f>VLOOKUP(S43,'Mission Params'!$A$30:$F$41,5)</f>
        <v>0.56000000000000005</v>
      </c>
      <c r="W43" s="68">
        <f>VLOOKUP(S43,'Mission Params'!$A$30:$F$41,6)</f>
        <v>0.28359574925796505</v>
      </c>
      <c r="X43" s="68">
        <f t="shared" si="42"/>
        <v>150034</v>
      </c>
    </row>
  </sheetData>
  <conditionalFormatting sqref="O2">
    <cfRule type="expression" dxfId="52" priority="13">
      <formula>ABS($O2)&lt;_xlnm.Criteria</formula>
    </cfRule>
  </conditionalFormatting>
  <conditionalFormatting sqref="I2">
    <cfRule type="expression" dxfId="51" priority="8">
      <formula>ABS($O2)&lt;_xlnm.Criteria</formula>
    </cfRule>
  </conditionalFormatting>
  <conditionalFormatting sqref="O3:O43">
    <cfRule type="expression" dxfId="50" priority="3">
      <formula>ABS($O3)&lt;_xlnm.Criteria</formula>
    </cfRule>
  </conditionalFormatting>
  <conditionalFormatting sqref="I3:I43">
    <cfRule type="expression" dxfId="49" priority="2">
      <formula>ABS($O3)&lt;_xlnm.Criteria</formula>
    </cfRule>
  </conditionalFormatting>
  <conditionalFormatting sqref="K2:K43">
    <cfRule type="expression" dxfId="48" priority="1">
      <formula>ABS($O2)&lt;_xlnm.Criteria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5DE3-8B23-4609-8109-D50E1E13BE3E}">
  <sheetPr>
    <pageSetUpPr fitToPage="1"/>
  </sheetPr>
  <dimension ref="A1:X44"/>
  <sheetViews>
    <sheetView zoomScale="80" zoomScaleNormal="80" workbookViewId="0">
      <selection activeCell="S19" sqref="S19:S20"/>
    </sheetView>
  </sheetViews>
  <sheetFormatPr defaultRowHeight="15" x14ac:dyDescent="0.25"/>
  <cols>
    <col min="1" max="1" width="17.28515625" customWidth="1"/>
    <col min="2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3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45" t="s">
        <v>23</v>
      </c>
      <c r="N1" s="44" t="s">
        <v>22</v>
      </c>
      <c r="O1" s="43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23" customFormat="1" x14ac:dyDescent="0.25">
      <c r="A2" s="23" t="s">
        <v>31</v>
      </c>
      <c r="B2" s="35">
        <f>R2*S2*0.001</f>
        <v>72.591999999999999</v>
      </c>
      <c r="C2" s="35">
        <f>4*S2*0.001</f>
        <v>18.148</v>
      </c>
      <c r="D2" s="35">
        <f>T2*R2</f>
        <v>4.16</v>
      </c>
      <c r="E2" s="50">
        <f>V2</f>
        <v>0.58399999999999996</v>
      </c>
      <c r="F2" s="29">
        <f>U2</f>
        <v>2077</v>
      </c>
      <c r="G2" s="34">
        <v>2066.335</v>
      </c>
      <c r="H2" s="35">
        <v>1251.4972006862745</v>
      </c>
      <c r="I2" s="35">
        <v>2000</v>
      </c>
      <c r="J2" s="36">
        <f>SUM(G2:I2)</f>
        <v>5317.8322006862745</v>
      </c>
      <c r="K2" s="35">
        <f>(2*J2+I2)*W2</f>
        <v>3393.479743057108</v>
      </c>
      <c r="L2" s="38">
        <f t="shared" ref="L2" si="0">SUM(J2,K2)</f>
        <v>8711.3119437433816</v>
      </c>
      <c r="M2" s="13">
        <f t="shared" ref="M2" si="1">H2/L2</f>
        <v>0.14366345835946351</v>
      </c>
      <c r="N2" s="21">
        <f>Q2*(1-Q2)</f>
        <v>0.2111046262288778</v>
      </c>
      <c r="O2" s="51">
        <f>(M2-N2)</f>
        <v>-6.7441167869414287E-2</v>
      </c>
      <c r="P2" s="21">
        <f t="shared" ref="P2" si="2">SQRT(E2*H2*(1/J2 - 1/L2))</f>
        <v>0.23138483818085043</v>
      </c>
      <c r="Q2" s="21">
        <f t="shared" ref="Q2" si="3">1-(P2/SQRT(E2))</f>
        <v>0.69721910092869355</v>
      </c>
      <c r="R2" s="46">
        <v>16</v>
      </c>
      <c r="S2" s="46">
        <v>4537</v>
      </c>
      <c r="T2" s="49">
        <f>VLOOKUP(S2,'Mission Params'!$A$30:$F$41,3)</f>
        <v>0.26</v>
      </c>
      <c r="U2" s="23">
        <f>VLOOKUP(S2,'Mission Params'!$A$30:$F$41,4)</f>
        <v>2077</v>
      </c>
      <c r="V2" s="23">
        <f>VLOOKUP(S2,'Mission Params'!$A$30:$F$41,5)</f>
        <v>0.58399999999999996</v>
      </c>
      <c r="W2" s="23">
        <f>VLOOKUP(S2,'Mission Params'!$A$30:$F$41,6)</f>
        <v>0.26856361765104264</v>
      </c>
      <c r="X2" s="46">
        <f>(I2+2*J2)</f>
        <v>12635.664401372549</v>
      </c>
    </row>
    <row r="3" spans="1:24" s="23" customFormat="1" x14ac:dyDescent="0.25">
      <c r="A3" s="23" t="s">
        <v>31</v>
      </c>
      <c r="B3" s="35">
        <f t="shared" ref="B3:B43" si="4">R3*S3*0.001</f>
        <v>72.591999999999999</v>
      </c>
      <c r="C3" s="35">
        <f t="shared" ref="C3:C43" si="5">4*S3*0.001</f>
        <v>18.148</v>
      </c>
      <c r="D3" s="35">
        <f t="shared" ref="D3:D43" si="6">T3*R3</f>
        <v>4.16</v>
      </c>
      <c r="E3" s="50">
        <f t="shared" ref="E3:E43" si="7">V3</f>
        <v>0.58399999999999996</v>
      </c>
      <c r="F3" s="29">
        <f t="shared" ref="F3:F43" si="8">U3</f>
        <v>2077</v>
      </c>
      <c r="G3" s="34">
        <v>2066.335</v>
      </c>
      <c r="H3" s="35">
        <v>1251.4972006862745</v>
      </c>
      <c r="I3" s="35">
        <v>4000</v>
      </c>
      <c r="J3" s="36">
        <f t="shared" ref="J3:J43" si="9">SUM(G3:I3)</f>
        <v>7317.8322006862745</v>
      </c>
      <c r="K3" s="35">
        <f t="shared" ref="K3:K43" si="10">(2*J3+I3)*W3</f>
        <v>5004.8614489633637</v>
      </c>
      <c r="L3" s="38">
        <f t="shared" ref="L3:L43" si="11">SUM(J3,K3)</f>
        <v>12322.693649649638</v>
      </c>
      <c r="M3" s="13">
        <f t="shared" ref="M3:M43" si="12">H3/L3</f>
        <v>0.10156035979372556</v>
      </c>
      <c r="N3" s="21">
        <f t="shared" ref="N3:N43" si="13">Q3*(1-Q3)</f>
        <v>0.19409251701818012</v>
      </c>
      <c r="O3" s="51">
        <f t="shared" ref="O3:O43" si="14">(M3-N3)</f>
        <v>-9.2532157224454556E-2</v>
      </c>
      <c r="P3" s="21">
        <f t="shared" ref="P3:P43" si="15">SQRT(E3*H3*(1/J3 - 1/L3))</f>
        <v>0.20140643633877459</v>
      </c>
      <c r="Q3" s="21">
        <f t="shared" ref="Q3:Q43" si="16">1-(P3/SQRT(E3))</f>
        <v>0.73644763264160606</v>
      </c>
      <c r="R3" s="46">
        <v>16</v>
      </c>
      <c r="S3" s="46">
        <v>4537</v>
      </c>
      <c r="T3" s="49">
        <f>VLOOKUP(S3,'Mission Params'!$A$30:$F$41,3)</f>
        <v>0.26</v>
      </c>
      <c r="U3" s="23">
        <f>VLOOKUP(S3,'Mission Params'!$A$30:$F$41,4)</f>
        <v>2077</v>
      </c>
      <c r="V3" s="23">
        <f>VLOOKUP(S3,'Mission Params'!$A$30:$F$41,5)</f>
        <v>0.58399999999999996</v>
      </c>
      <c r="W3" s="23">
        <f>VLOOKUP(S3,'Mission Params'!$A$30:$F$41,6)</f>
        <v>0.26856361765104264</v>
      </c>
      <c r="X3" s="46">
        <f t="shared" ref="X3:X43" si="17">(I3+2*J3)</f>
        <v>18635.664401372549</v>
      </c>
    </row>
    <row r="4" spans="1:24" s="68" customFormat="1" ht="15.75" thickBot="1" x14ac:dyDescent="0.3">
      <c r="A4" s="68" t="s">
        <v>31</v>
      </c>
      <c r="B4" s="69">
        <f t="shared" si="4"/>
        <v>72.591999999999999</v>
      </c>
      <c r="C4" s="69">
        <f t="shared" si="5"/>
        <v>18.148</v>
      </c>
      <c r="D4" s="69">
        <f t="shared" si="6"/>
        <v>4.16</v>
      </c>
      <c r="E4" s="70">
        <f t="shared" si="7"/>
        <v>0.58399999999999996</v>
      </c>
      <c r="F4" s="71">
        <f t="shared" si="8"/>
        <v>2077</v>
      </c>
      <c r="G4" s="72">
        <v>2066</v>
      </c>
      <c r="H4" s="69">
        <v>1945.1197705686277</v>
      </c>
      <c r="I4" s="69">
        <v>8000</v>
      </c>
      <c r="J4" s="73">
        <f t="shared" si="9"/>
        <v>12011.119770568628</v>
      </c>
      <c r="K4" s="69">
        <f t="shared" si="10"/>
        <v>8600.0084964560847</v>
      </c>
      <c r="L4" s="74">
        <f t="shared" si="11"/>
        <v>20611.128267024713</v>
      </c>
      <c r="M4" s="75">
        <f t="shared" si="12"/>
        <v>9.4372309238431248E-2</v>
      </c>
      <c r="N4" s="75">
        <f t="shared" si="13"/>
        <v>0.19237316998714979</v>
      </c>
      <c r="O4" s="76">
        <f t="shared" si="14"/>
        <v>-9.8000860748718541E-2</v>
      </c>
      <c r="P4" s="75">
        <f t="shared" si="15"/>
        <v>0.19864901043198643</v>
      </c>
      <c r="Q4" s="75">
        <f t="shared" si="16"/>
        <v>0.7400558893525635</v>
      </c>
      <c r="R4" s="77">
        <v>16</v>
      </c>
      <c r="S4" s="77">
        <v>4537</v>
      </c>
      <c r="T4" s="78">
        <f>VLOOKUP(S4,'Mission Params'!$A$30:$F$41,3)</f>
        <v>0.26</v>
      </c>
      <c r="U4" s="68">
        <f>VLOOKUP(S4,'Mission Params'!$A$30:$F$41,4)</f>
        <v>2077</v>
      </c>
      <c r="V4" s="68">
        <f>VLOOKUP(S4,'Mission Params'!$A$30:$F$41,5)</f>
        <v>0.58399999999999996</v>
      </c>
      <c r="W4" s="68">
        <f>VLOOKUP(S4,'Mission Params'!$A$30:$F$41,6)</f>
        <v>0.26856361765104264</v>
      </c>
      <c r="X4" s="77">
        <f t="shared" si="17"/>
        <v>32022.239541137256</v>
      </c>
    </row>
    <row r="5" spans="1:24" s="23" customFormat="1" x14ac:dyDescent="0.25">
      <c r="A5" s="23" t="s">
        <v>32</v>
      </c>
      <c r="B5" s="35">
        <f t="shared" si="4"/>
        <v>100.72</v>
      </c>
      <c r="C5" s="35">
        <f t="shared" si="5"/>
        <v>25.18</v>
      </c>
      <c r="D5" s="35">
        <f t="shared" si="6"/>
        <v>5.7439999999999998</v>
      </c>
      <c r="E5" s="50">
        <f t="shared" si="7"/>
        <v>0.60599999999999998</v>
      </c>
      <c r="F5" s="29">
        <f t="shared" si="8"/>
        <v>2165</v>
      </c>
      <c r="G5" s="34">
        <v>2102.7600000000002</v>
      </c>
      <c r="H5" s="35">
        <v>1945.1197705686277</v>
      </c>
      <c r="I5" s="35">
        <v>2000</v>
      </c>
      <c r="J5" s="36">
        <f t="shared" si="9"/>
        <v>6047.8797705686284</v>
      </c>
      <c r="K5" s="35">
        <f t="shared" si="10"/>
        <v>3613.542175130945</v>
      </c>
      <c r="L5" s="38">
        <f t="shared" si="11"/>
        <v>9661.4219456995743</v>
      </c>
      <c r="M5" s="13">
        <f t="shared" si="12"/>
        <v>0.20132851887650202</v>
      </c>
      <c r="N5" s="21">
        <f t="shared" si="13"/>
        <v>0.22653919154562405</v>
      </c>
      <c r="O5" s="51">
        <f t="shared" si="14"/>
        <v>-2.5210672669122025E-2</v>
      </c>
      <c r="P5" s="21">
        <f t="shared" si="15"/>
        <v>0.26999389913977795</v>
      </c>
      <c r="Q5" s="21">
        <f t="shared" si="16"/>
        <v>0.65316921510008452</v>
      </c>
      <c r="R5" s="46">
        <v>16</v>
      </c>
      <c r="S5" s="46">
        <v>6295</v>
      </c>
      <c r="T5" s="49">
        <f>VLOOKUP(S5,'Mission Params'!$A$30:$F$41,3)</f>
        <v>0.35899999999999999</v>
      </c>
      <c r="U5" s="23">
        <f>VLOOKUP(S5,'Mission Params'!$A$30:$F$41,4)</f>
        <v>2165</v>
      </c>
      <c r="V5" s="23">
        <f>VLOOKUP(S5,'Mission Params'!$A$30:$F$41,5)</f>
        <v>0.60599999999999998</v>
      </c>
      <c r="W5" s="23">
        <f>VLOOKUP(S5,'Mission Params'!$A$30:$F$41,6)</f>
        <v>0.25635668404991829</v>
      </c>
      <c r="X5" s="46">
        <f t="shared" si="17"/>
        <v>14095.759541137257</v>
      </c>
    </row>
    <row r="6" spans="1:24" s="23" customFormat="1" x14ac:dyDescent="0.25">
      <c r="A6" s="23" t="s">
        <v>32</v>
      </c>
      <c r="B6" s="35">
        <f t="shared" si="4"/>
        <v>100.72</v>
      </c>
      <c r="C6" s="35">
        <f t="shared" si="5"/>
        <v>25.18</v>
      </c>
      <c r="D6" s="35">
        <f t="shared" si="6"/>
        <v>5.7439999999999998</v>
      </c>
      <c r="E6" s="50">
        <f t="shared" si="7"/>
        <v>0.60599999999999998</v>
      </c>
      <c r="F6" s="29">
        <f t="shared" si="8"/>
        <v>2165</v>
      </c>
      <c r="G6" s="34">
        <v>2102.7600000000002</v>
      </c>
      <c r="H6" s="35">
        <v>2379.8005357450984</v>
      </c>
      <c r="I6" s="35">
        <v>4000</v>
      </c>
      <c r="J6" s="36">
        <f t="shared" si="9"/>
        <v>8482.5605357450986</v>
      </c>
      <c r="K6" s="35">
        <f t="shared" si="10"/>
        <v>5374.548918592297</v>
      </c>
      <c r="L6" s="38">
        <f t="shared" si="11"/>
        <v>13857.109454337395</v>
      </c>
      <c r="M6" s="13">
        <f t="shared" si="12"/>
        <v>0.17173859696981755</v>
      </c>
      <c r="N6" s="21">
        <f t="shared" si="13"/>
        <v>0.22105543705657008</v>
      </c>
      <c r="O6" s="51">
        <f t="shared" si="14"/>
        <v>-4.9316840086752523E-2</v>
      </c>
      <c r="P6" s="21">
        <f t="shared" si="15"/>
        <v>0.25678981452799854</v>
      </c>
      <c r="Q6" s="21">
        <f t="shared" si="16"/>
        <v>0.67013101699405053</v>
      </c>
      <c r="R6" s="46">
        <v>16</v>
      </c>
      <c r="S6" s="46">
        <v>6295</v>
      </c>
      <c r="T6" s="49">
        <f>VLOOKUP(S6,'Mission Params'!$A$30:$F$41,3)</f>
        <v>0.35899999999999999</v>
      </c>
      <c r="U6" s="23">
        <f>VLOOKUP(S6,'Mission Params'!$A$30:$F$41,4)</f>
        <v>2165</v>
      </c>
      <c r="V6" s="23">
        <f>VLOOKUP(S6,'Mission Params'!$A$30:$F$41,5)</f>
        <v>0.60599999999999998</v>
      </c>
      <c r="W6" s="23">
        <f>VLOOKUP(S6,'Mission Params'!$A$30:$F$41,6)</f>
        <v>0.25635668404991829</v>
      </c>
      <c r="X6" s="46">
        <f t="shared" si="17"/>
        <v>20965.121071490197</v>
      </c>
    </row>
    <row r="7" spans="1:24" s="68" customFormat="1" ht="15.75" thickBot="1" x14ac:dyDescent="0.3">
      <c r="A7" s="68" t="s">
        <v>32</v>
      </c>
      <c r="B7" s="69">
        <f t="shared" si="4"/>
        <v>100.72</v>
      </c>
      <c r="C7" s="69">
        <f t="shared" si="5"/>
        <v>25.18</v>
      </c>
      <c r="D7" s="69">
        <f t="shared" si="6"/>
        <v>5.7439999999999998</v>
      </c>
      <c r="E7" s="70">
        <f t="shared" si="7"/>
        <v>0.60599999999999998</v>
      </c>
      <c r="F7" s="71">
        <f t="shared" si="8"/>
        <v>2165</v>
      </c>
      <c r="G7" s="72">
        <v>2102.7600000000002</v>
      </c>
      <c r="H7" s="69">
        <v>2379.8005357450984</v>
      </c>
      <c r="I7" s="69">
        <v>8000</v>
      </c>
      <c r="J7" s="73">
        <f t="shared" si="9"/>
        <v>12482.560535745099</v>
      </c>
      <c r="K7" s="69">
        <f t="shared" si="10"/>
        <v>8450.8291271913167</v>
      </c>
      <c r="L7" s="74">
        <f t="shared" si="11"/>
        <v>20933.389662936417</v>
      </c>
      <c r="M7" s="75">
        <f t="shared" si="12"/>
        <v>0.11368443305475036</v>
      </c>
      <c r="N7" s="75">
        <f t="shared" si="13"/>
        <v>0.20046114432444848</v>
      </c>
      <c r="O7" s="76">
        <f t="shared" si="14"/>
        <v>-8.6776711269698117E-2</v>
      </c>
      <c r="P7" s="75">
        <f t="shared" si="15"/>
        <v>0.21596562576558337</v>
      </c>
      <c r="Q7" s="75">
        <f t="shared" si="16"/>
        <v>0.72257325912056802</v>
      </c>
      <c r="R7" s="77">
        <v>16</v>
      </c>
      <c r="S7" s="77">
        <v>6295</v>
      </c>
      <c r="T7" s="78">
        <f>VLOOKUP(S7,'Mission Params'!$A$30:$F$41,3)</f>
        <v>0.35899999999999999</v>
      </c>
      <c r="U7" s="68">
        <f>VLOOKUP(S7,'Mission Params'!$A$30:$F$41,4)</f>
        <v>2165</v>
      </c>
      <c r="V7" s="68">
        <f>VLOOKUP(S7,'Mission Params'!$A$30:$F$41,5)</f>
        <v>0.60599999999999998</v>
      </c>
      <c r="W7" s="68">
        <f>VLOOKUP(S7,'Mission Params'!$A$30:$F$41,6)</f>
        <v>0.25635668404991829</v>
      </c>
      <c r="X7" s="77">
        <f t="shared" si="17"/>
        <v>32965.121071490197</v>
      </c>
    </row>
    <row r="8" spans="1:24" s="23" customFormat="1" x14ac:dyDescent="0.25">
      <c r="A8" s="23" t="s">
        <v>33</v>
      </c>
      <c r="B8" s="35">
        <f t="shared" si="4"/>
        <v>128.976</v>
      </c>
      <c r="C8" s="35">
        <f t="shared" si="5"/>
        <v>32.244</v>
      </c>
      <c r="D8" s="35">
        <f t="shared" si="6"/>
        <v>7.1840000000000002</v>
      </c>
      <c r="E8" s="50">
        <f t="shared" si="7"/>
        <v>0.60599999999999998</v>
      </c>
      <c r="F8" s="29">
        <f t="shared" si="8"/>
        <v>2217</v>
      </c>
      <c r="G8" s="37">
        <v>3090.41</v>
      </c>
      <c r="H8" s="37">
        <v>2934.37</v>
      </c>
      <c r="I8" s="35">
        <v>2000</v>
      </c>
      <c r="J8" s="36">
        <f t="shared" si="9"/>
        <v>8024.78</v>
      </c>
      <c r="K8" s="35">
        <f t="shared" si="10"/>
        <v>4506.0651182256497</v>
      </c>
      <c r="L8" s="38">
        <f t="shared" si="11"/>
        <v>12530.84511822565</v>
      </c>
      <c r="M8" s="13">
        <f t="shared" si="12"/>
        <v>0.23417175556116859</v>
      </c>
      <c r="N8" s="21">
        <f t="shared" si="13"/>
        <v>0.23112620028035466</v>
      </c>
      <c r="O8" s="51">
        <f t="shared" si="14"/>
        <v>3.045555280813933E-3</v>
      </c>
      <c r="P8" s="21">
        <f t="shared" si="15"/>
        <v>0.28228365513828224</v>
      </c>
      <c r="Q8" s="21">
        <f t="shared" si="16"/>
        <v>0.63738194830342643</v>
      </c>
      <c r="R8" s="46">
        <v>16</v>
      </c>
      <c r="S8" s="46">
        <v>8061</v>
      </c>
      <c r="T8" s="49">
        <f>VLOOKUP(S8,'Mission Params'!$A$30:$F$41,3)</f>
        <v>0.44900000000000001</v>
      </c>
      <c r="U8" s="23">
        <f>VLOOKUP(S8,'Mission Params'!$A$30:$F$41,4)</f>
        <v>2217</v>
      </c>
      <c r="V8" s="23">
        <f>VLOOKUP(S8,'Mission Params'!$A$30:$F$41,5)</f>
        <v>0.60599999999999998</v>
      </c>
      <c r="W8" s="23">
        <f>VLOOKUP(S8,'Mission Params'!$A$30:$F$41,6)</f>
        <v>0.24964958249539881</v>
      </c>
      <c r="X8" s="46">
        <f t="shared" si="17"/>
        <v>18049.559999999998</v>
      </c>
    </row>
    <row r="9" spans="1:24" x14ac:dyDescent="0.25">
      <c r="A9" s="23" t="s">
        <v>33</v>
      </c>
      <c r="B9" s="35">
        <f t="shared" si="4"/>
        <v>128.976</v>
      </c>
      <c r="C9" s="35">
        <f t="shared" si="5"/>
        <v>32.244</v>
      </c>
      <c r="D9" s="35">
        <f t="shared" si="6"/>
        <v>7.1840000000000002</v>
      </c>
      <c r="E9" s="50">
        <f t="shared" si="7"/>
        <v>0.60599999999999998</v>
      </c>
      <c r="F9" s="29">
        <f t="shared" si="8"/>
        <v>2217</v>
      </c>
      <c r="G9" s="37">
        <v>3090.41</v>
      </c>
      <c r="H9" s="37">
        <v>2934.37</v>
      </c>
      <c r="I9" s="35">
        <v>4000</v>
      </c>
      <c r="J9" s="36">
        <f t="shared" si="9"/>
        <v>10024.779999999999</v>
      </c>
      <c r="K9" s="35">
        <f t="shared" si="10"/>
        <v>6003.9626131980431</v>
      </c>
      <c r="L9" s="38">
        <f t="shared" si="11"/>
        <v>16028.742613198043</v>
      </c>
      <c r="M9" s="13">
        <f t="shared" si="12"/>
        <v>0.18306925694744414</v>
      </c>
      <c r="N9" s="21">
        <f t="shared" si="13"/>
        <v>0.22148053970921081</v>
      </c>
      <c r="O9" s="51">
        <f t="shared" si="14"/>
        <v>-3.8411282761766669E-2</v>
      </c>
      <c r="P9" s="21">
        <f t="shared" si="15"/>
        <v>0.25776597245571659</v>
      </c>
      <c r="Q9" s="21">
        <f t="shared" si="16"/>
        <v>0.66887705673296538</v>
      </c>
      <c r="R9" s="46">
        <v>16</v>
      </c>
      <c r="S9" s="46">
        <v>8061</v>
      </c>
      <c r="T9" s="49">
        <f>VLOOKUP(S9,'Mission Params'!$A$30:$F$41,3)</f>
        <v>0.44900000000000001</v>
      </c>
      <c r="U9" s="23">
        <f>VLOOKUP(S9,'Mission Params'!$A$30:$F$41,4)</f>
        <v>2217</v>
      </c>
      <c r="V9" s="23">
        <f>VLOOKUP(S9,'Mission Params'!$A$30:$F$41,5)</f>
        <v>0.60599999999999998</v>
      </c>
      <c r="W9" s="23">
        <f>VLOOKUP(S9,'Mission Params'!$A$30:$F$41,6)</f>
        <v>0.24964958249539881</v>
      </c>
      <c r="X9" s="46">
        <f t="shared" si="17"/>
        <v>24049.559999999998</v>
      </c>
    </row>
    <row r="10" spans="1:24" s="79" customFormat="1" ht="15.75" thickBot="1" x14ac:dyDescent="0.3">
      <c r="A10" s="68" t="s">
        <v>33</v>
      </c>
      <c r="B10" s="69">
        <f t="shared" si="4"/>
        <v>128.976</v>
      </c>
      <c r="C10" s="69">
        <f t="shared" si="5"/>
        <v>32.244</v>
      </c>
      <c r="D10" s="69">
        <f t="shared" si="6"/>
        <v>7.1840000000000002</v>
      </c>
      <c r="E10" s="70">
        <f t="shared" si="7"/>
        <v>0.60599999999999998</v>
      </c>
      <c r="F10" s="71">
        <f t="shared" si="8"/>
        <v>2217</v>
      </c>
      <c r="G10" s="80">
        <v>3090.41</v>
      </c>
      <c r="H10" s="80">
        <v>2934.37</v>
      </c>
      <c r="I10" s="69">
        <v>8000</v>
      </c>
      <c r="J10" s="73">
        <f t="shared" si="9"/>
        <v>14024.779999999999</v>
      </c>
      <c r="K10" s="69">
        <f t="shared" si="10"/>
        <v>8999.7576031428289</v>
      </c>
      <c r="L10" s="74">
        <f t="shared" si="11"/>
        <v>23024.537603142828</v>
      </c>
      <c r="M10" s="75">
        <f t="shared" si="12"/>
        <v>0.12744533899345112</v>
      </c>
      <c r="N10" s="75">
        <f t="shared" si="13"/>
        <v>0.20419366220490559</v>
      </c>
      <c r="O10" s="76">
        <f t="shared" si="14"/>
        <v>-7.6748323211454472E-2</v>
      </c>
      <c r="P10" s="75">
        <f t="shared" si="15"/>
        <v>0.22262076356730906</v>
      </c>
      <c r="Q10" s="75">
        <f t="shared" si="16"/>
        <v>0.71402415236391992</v>
      </c>
      <c r="R10" s="77">
        <v>16</v>
      </c>
      <c r="S10" s="77">
        <v>8061</v>
      </c>
      <c r="T10" s="78">
        <f>VLOOKUP(S10,'Mission Params'!$A$30:$F$41,3)</f>
        <v>0.44900000000000001</v>
      </c>
      <c r="U10" s="68">
        <f>VLOOKUP(S10,'Mission Params'!$A$30:$F$41,4)</f>
        <v>2217</v>
      </c>
      <c r="V10" s="68">
        <f>VLOOKUP(S10,'Mission Params'!$A$30:$F$41,5)</f>
        <v>0.60599999999999998</v>
      </c>
      <c r="W10" s="68">
        <f>VLOOKUP(S10,'Mission Params'!$A$30:$F$41,6)</f>
        <v>0.24964958249539881</v>
      </c>
      <c r="X10" s="77">
        <f t="shared" si="17"/>
        <v>36049.56</v>
      </c>
    </row>
    <row r="11" spans="1:24" x14ac:dyDescent="0.25">
      <c r="A11" t="s">
        <v>25</v>
      </c>
      <c r="B11" s="35">
        <f t="shared" si="4"/>
        <v>145.184</v>
      </c>
      <c r="C11" s="35">
        <f t="shared" si="5"/>
        <v>18.148</v>
      </c>
      <c r="D11" s="35">
        <f t="shared" si="6"/>
        <v>8.32</v>
      </c>
      <c r="E11" s="50">
        <f t="shared" si="7"/>
        <v>0.58399999999999996</v>
      </c>
      <c r="F11" s="29">
        <f t="shared" si="8"/>
        <v>2077</v>
      </c>
      <c r="G11" s="37">
        <v>3125.66</v>
      </c>
      <c r="H11" s="37">
        <v>3962.43</v>
      </c>
      <c r="I11" s="35">
        <v>4000</v>
      </c>
      <c r="J11" s="36">
        <f t="shared" si="9"/>
        <v>11088.09</v>
      </c>
      <c r="K11" s="35">
        <f t="shared" si="10"/>
        <v>7029.9695970848697</v>
      </c>
      <c r="L11" s="38">
        <f t="shared" si="11"/>
        <v>18118.05959708487</v>
      </c>
      <c r="M11" s="13">
        <f t="shared" si="12"/>
        <v>0.2187005721428105</v>
      </c>
      <c r="N11" s="21">
        <f t="shared" si="13"/>
        <v>0.23371028260948956</v>
      </c>
      <c r="O11" s="51">
        <f t="shared" si="14"/>
        <v>-1.5009710466679066E-2</v>
      </c>
      <c r="P11" s="21">
        <f t="shared" si="15"/>
        <v>0.28456385483402696</v>
      </c>
      <c r="Q11" s="21">
        <f t="shared" si="16"/>
        <v>0.62763117718845363</v>
      </c>
      <c r="R11" s="12">
        <v>32</v>
      </c>
      <c r="S11" s="46">
        <v>4537</v>
      </c>
      <c r="T11" s="49">
        <f>VLOOKUP(S11,'Mission Params'!$A$30:$F$41,3)</f>
        <v>0.26</v>
      </c>
      <c r="U11" s="23">
        <f>VLOOKUP(S11,'Mission Params'!$A$30:$F$41,4)</f>
        <v>2077</v>
      </c>
      <c r="V11" s="23">
        <f>VLOOKUP(S11,'Mission Params'!$A$30:$F$41,5)</f>
        <v>0.58399999999999996</v>
      </c>
      <c r="W11" s="23">
        <f>VLOOKUP(S11,'Mission Params'!$A$30:$F$41,6)</f>
        <v>0.26856361765104264</v>
      </c>
      <c r="X11" s="46">
        <f t="shared" si="17"/>
        <v>26176.18</v>
      </c>
    </row>
    <row r="12" spans="1:24" x14ac:dyDescent="0.25">
      <c r="A12" t="s">
        <v>25</v>
      </c>
      <c r="B12" s="35">
        <f t="shared" si="4"/>
        <v>145.184</v>
      </c>
      <c r="C12" s="35">
        <f t="shared" si="5"/>
        <v>18.148</v>
      </c>
      <c r="D12" s="35">
        <f t="shared" si="6"/>
        <v>8.32</v>
      </c>
      <c r="E12" s="50">
        <f t="shared" si="7"/>
        <v>0.58399999999999996</v>
      </c>
      <c r="F12" s="29">
        <f t="shared" si="8"/>
        <v>2077</v>
      </c>
      <c r="G12" s="37">
        <v>3125.66</v>
      </c>
      <c r="H12" s="37">
        <v>3962.43</v>
      </c>
      <c r="I12" s="35">
        <v>8000</v>
      </c>
      <c r="J12" s="36">
        <f t="shared" si="9"/>
        <v>15088.09</v>
      </c>
      <c r="K12" s="35">
        <f t="shared" si="10"/>
        <v>10252.733008897381</v>
      </c>
      <c r="L12" s="38">
        <f t="shared" si="11"/>
        <v>25340.82300889738</v>
      </c>
      <c r="M12" s="13">
        <f t="shared" si="12"/>
        <v>0.15636548183966861</v>
      </c>
      <c r="N12" s="21">
        <f t="shared" si="13"/>
        <v>0.21971238409756469</v>
      </c>
      <c r="O12" s="51">
        <f t="shared" si="14"/>
        <v>-6.3346902257896076E-2</v>
      </c>
      <c r="P12" s="21">
        <f t="shared" si="15"/>
        <v>0.24910334442333504</v>
      </c>
      <c r="Q12" s="21">
        <f t="shared" si="16"/>
        <v>0.67403337582899236</v>
      </c>
      <c r="R12" s="12">
        <v>32</v>
      </c>
      <c r="S12" s="46">
        <v>4537</v>
      </c>
      <c r="T12" s="49">
        <f>VLOOKUP(S12,'Mission Params'!$A$30:$F$41,3)</f>
        <v>0.26</v>
      </c>
      <c r="U12" s="23">
        <f>VLOOKUP(S12,'Mission Params'!$A$30:$F$41,4)</f>
        <v>2077</v>
      </c>
      <c r="V12" s="23">
        <f>VLOOKUP(S12,'Mission Params'!$A$30:$F$41,5)</f>
        <v>0.58399999999999996</v>
      </c>
      <c r="W12" s="23">
        <f>VLOOKUP(S12,'Mission Params'!$A$30:$F$41,6)</f>
        <v>0.26856361765104264</v>
      </c>
      <c r="X12" s="46">
        <f t="shared" si="17"/>
        <v>38176.18</v>
      </c>
    </row>
    <row r="13" spans="1:24" s="79" customFormat="1" ht="15.75" thickBot="1" x14ac:dyDescent="0.3">
      <c r="A13" s="79" t="s">
        <v>25</v>
      </c>
      <c r="B13" s="69">
        <f t="shared" si="4"/>
        <v>145.184</v>
      </c>
      <c r="C13" s="69">
        <f t="shared" si="5"/>
        <v>18.148</v>
      </c>
      <c r="D13" s="69">
        <f t="shared" si="6"/>
        <v>8.32</v>
      </c>
      <c r="E13" s="70">
        <f t="shared" si="7"/>
        <v>0.58399999999999996</v>
      </c>
      <c r="F13" s="71">
        <f t="shared" si="8"/>
        <v>2077</v>
      </c>
      <c r="G13" s="80">
        <v>3125.66</v>
      </c>
      <c r="H13" s="80">
        <v>3962.43</v>
      </c>
      <c r="I13" s="69">
        <v>12000</v>
      </c>
      <c r="J13" s="73">
        <f t="shared" si="9"/>
        <v>19088.09</v>
      </c>
      <c r="K13" s="69">
        <f t="shared" si="10"/>
        <v>13475.496420709893</v>
      </c>
      <c r="L13" s="74">
        <f t="shared" si="11"/>
        <v>32563.586420709893</v>
      </c>
      <c r="M13" s="75">
        <f t="shared" si="12"/>
        <v>0.12168284994185902</v>
      </c>
      <c r="N13" s="75">
        <f t="shared" si="13"/>
        <v>0.20718960217914079</v>
      </c>
      <c r="O13" s="76">
        <f t="shared" si="14"/>
        <v>-8.5506752237281769E-2</v>
      </c>
      <c r="P13" s="75">
        <f t="shared" si="15"/>
        <v>0.22398155708117137</v>
      </c>
      <c r="Q13" s="75">
        <f t="shared" si="16"/>
        <v>0.70690673701177353</v>
      </c>
      <c r="R13" s="82">
        <v>32</v>
      </c>
      <c r="S13" s="77">
        <v>4537</v>
      </c>
      <c r="T13" s="78">
        <f>VLOOKUP(S13,'Mission Params'!$A$30:$F$41,3)</f>
        <v>0.26</v>
      </c>
      <c r="U13" s="68">
        <f>VLOOKUP(S13,'Mission Params'!$A$30:$F$41,4)</f>
        <v>2077</v>
      </c>
      <c r="V13" s="68">
        <f>VLOOKUP(S13,'Mission Params'!$A$30:$F$41,5)</f>
        <v>0.58399999999999996</v>
      </c>
      <c r="W13" s="68">
        <f>VLOOKUP(S13,'Mission Params'!$A$30:$F$41,6)</f>
        <v>0.26856361765104264</v>
      </c>
      <c r="X13" s="77">
        <f t="shared" si="17"/>
        <v>50176.18</v>
      </c>
    </row>
    <row r="14" spans="1:24" x14ac:dyDescent="0.25">
      <c r="A14" t="s">
        <v>26</v>
      </c>
      <c r="B14" s="35">
        <f t="shared" si="4"/>
        <v>201.44</v>
      </c>
      <c r="C14" s="35">
        <f t="shared" si="5"/>
        <v>25.18</v>
      </c>
      <c r="D14" s="35">
        <f t="shared" si="6"/>
        <v>11.488</v>
      </c>
      <c r="E14" s="50">
        <f t="shared" si="7"/>
        <v>0.60599999999999998</v>
      </c>
      <c r="F14" s="29">
        <f t="shared" si="8"/>
        <v>2165</v>
      </c>
      <c r="G14" s="37">
        <v>3125.66</v>
      </c>
      <c r="H14" s="37">
        <v>5674.73</v>
      </c>
      <c r="I14" s="35">
        <v>4000</v>
      </c>
      <c r="J14" s="36">
        <f t="shared" si="9"/>
        <v>12800.39</v>
      </c>
      <c r="K14" s="35">
        <f t="shared" si="10"/>
        <v>7588.3578060911404</v>
      </c>
      <c r="L14" s="38">
        <f t="shared" si="11"/>
        <v>20388.747806091138</v>
      </c>
      <c r="M14" s="13">
        <f t="shared" si="12"/>
        <v>0.27832655805888551</v>
      </c>
      <c r="N14" s="21">
        <f t="shared" si="13"/>
        <v>0.24120150819039657</v>
      </c>
      <c r="O14" s="51">
        <f t="shared" si="14"/>
        <v>3.7125049868488941E-2</v>
      </c>
      <c r="P14" s="21">
        <f t="shared" si="15"/>
        <v>0.31621024442210288</v>
      </c>
      <c r="Q14" s="21">
        <f t="shared" si="16"/>
        <v>0.59380027617018749</v>
      </c>
      <c r="R14" s="12">
        <v>32</v>
      </c>
      <c r="S14" s="46">
        <v>6295</v>
      </c>
      <c r="T14" s="49">
        <f>VLOOKUP(S14,'Mission Params'!$A$30:$F$41,3)</f>
        <v>0.35899999999999999</v>
      </c>
      <c r="U14" s="23">
        <f>VLOOKUP(S14,'Mission Params'!$A$30:$F$41,4)</f>
        <v>2165</v>
      </c>
      <c r="V14" s="23">
        <f>VLOOKUP(S14,'Mission Params'!$A$30:$F$41,5)</f>
        <v>0.60599999999999998</v>
      </c>
      <c r="W14" s="23">
        <f>VLOOKUP(S14,'Mission Params'!$A$30:$F$41,6)</f>
        <v>0.25635668404991829</v>
      </c>
      <c r="X14" s="46">
        <f t="shared" si="17"/>
        <v>29600.78</v>
      </c>
    </row>
    <row r="15" spans="1:24" x14ac:dyDescent="0.25">
      <c r="A15" t="s">
        <v>26</v>
      </c>
      <c r="B15" s="35">
        <f t="shared" si="4"/>
        <v>201.44</v>
      </c>
      <c r="C15" s="35">
        <f t="shared" si="5"/>
        <v>25.18</v>
      </c>
      <c r="D15" s="35">
        <f t="shared" si="6"/>
        <v>11.488</v>
      </c>
      <c r="E15" s="50">
        <f t="shared" si="7"/>
        <v>0.60599999999999998</v>
      </c>
      <c r="F15" s="29">
        <f t="shared" si="8"/>
        <v>2165</v>
      </c>
      <c r="G15" s="37">
        <v>3179.71</v>
      </c>
      <c r="H15" s="37">
        <v>5674.73</v>
      </c>
      <c r="I15" s="35">
        <v>8000</v>
      </c>
      <c r="J15" s="36">
        <f t="shared" si="9"/>
        <v>16854.439999999999</v>
      </c>
      <c r="K15" s="35">
        <f t="shared" si="10"/>
        <v>10692.350172235956</v>
      </c>
      <c r="L15" s="38">
        <f t="shared" si="11"/>
        <v>27546.790172235953</v>
      </c>
      <c r="M15" s="13">
        <f t="shared" si="12"/>
        <v>0.20600331162065791</v>
      </c>
      <c r="N15" s="21">
        <f t="shared" si="13"/>
        <v>0.23081964580177097</v>
      </c>
      <c r="O15" s="51">
        <f t="shared" si="14"/>
        <v>-2.4816334181113064E-2</v>
      </c>
      <c r="P15" s="21">
        <f t="shared" si="15"/>
        <v>0.28141862454488376</v>
      </c>
      <c r="Q15" s="21">
        <f t="shared" si="16"/>
        <v>0.63849315578117583</v>
      </c>
      <c r="R15" s="12">
        <v>32</v>
      </c>
      <c r="S15" s="46">
        <v>6295</v>
      </c>
      <c r="T15" s="49">
        <f>VLOOKUP(S15,'Mission Params'!$A$30:$F$41,3)</f>
        <v>0.35899999999999999</v>
      </c>
      <c r="U15" s="23">
        <f>VLOOKUP(S15,'Mission Params'!$A$30:$F$41,4)</f>
        <v>2165</v>
      </c>
      <c r="V15" s="23">
        <f>VLOOKUP(S15,'Mission Params'!$A$30:$F$41,5)</f>
        <v>0.60599999999999998</v>
      </c>
      <c r="W15" s="23">
        <f>VLOOKUP(S15,'Mission Params'!$A$30:$F$41,6)</f>
        <v>0.25635668404991829</v>
      </c>
      <c r="X15" s="46">
        <f t="shared" si="17"/>
        <v>41708.879999999997</v>
      </c>
    </row>
    <row r="16" spans="1:24" s="79" customFormat="1" ht="15.75" thickBot="1" x14ac:dyDescent="0.3">
      <c r="A16" s="79" t="s">
        <v>26</v>
      </c>
      <c r="B16" s="69">
        <f t="shared" si="4"/>
        <v>201.44</v>
      </c>
      <c r="C16" s="69">
        <f t="shared" si="5"/>
        <v>25.18</v>
      </c>
      <c r="D16" s="69">
        <f t="shared" si="6"/>
        <v>11.488</v>
      </c>
      <c r="E16" s="70">
        <f t="shared" si="7"/>
        <v>0.60599999999999998</v>
      </c>
      <c r="F16" s="71">
        <f t="shared" si="8"/>
        <v>2165</v>
      </c>
      <c r="G16" s="80">
        <v>3179.71</v>
      </c>
      <c r="H16" s="80">
        <v>5674.73</v>
      </c>
      <c r="I16" s="69">
        <v>12000</v>
      </c>
      <c r="J16" s="73">
        <f t="shared" si="9"/>
        <v>20854.439999999999</v>
      </c>
      <c r="K16" s="69">
        <f t="shared" si="10"/>
        <v>13768.630380834975</v>
      </c>
      <c r="L16" s="74">
        <f t="shared" si="11"/>
        <v>34623.070380834972</v>
      </c>
      <c r="M16" s="75">
        <f t="shared" si="12"/>
        <v>0.16390025314280482</v>
      </c>
      <c r="N16" s="75">
        <f t="shared" si="13"/>
        <v>0.22074345893858685</v>
      </c>
      <c r="O16" s="76">
        <f t="shared" si="14"/>
        <v>-5.6843205795782031E-2</v>
      </c>
      <c r="P16" s="75">
        <f t="shared" si="15"/>
        <v>0.256077976153679</v>
      </c>
      <c r="Q16" s="75">
        <f t="shared" si="16"/>
        <v>0.6710454356637825</v>
      </c>
      <c r="R16" s="82">
        <v>32</v>
      </c>
      <c r="S16" s="77">
        <v>6295</v>
      </c>
      <c r="T16" s="78">
        <f>VLOOKUP(S16,'Mission Params'!$A$30:$F$41,3)</f>
        <v>0.35899999999999999</v>
      </c>
      <c r="U16" s="68">
        <f>VLOOKUP(S16,'Mission Params'!$A$30:$F$41,4)</f>
        <v>2165</v>
      </c>
      <c r="V16" s="68">
        <f>VLOOKUP(S16,'Mission Params'!$A$30:$F$41,5)</f>
        <v>0.60599999999999998</v>
      </c>
      <c r="W16" s="68">
        <f>VLOOKUP(S16,'Mission Params'!$A$30:$F$41,6)</f>
        <v>0.25635668404991829</v>
      </c>
      <c r="X16" s="77">
        <f t="shared" si="17"/>
        <v>53708.88</v>
      </c>
    </row>
    <row r="17" spans="1:24" x14ac:dyDescent="0.25">
      <c r="A17" t="s">
        <v>27</v>
      </c>
      <c r="B17" s="35">
        <f t="shared" si="4"/>
        <v>257.952</v>
      </c>
      <c r="C17" s="35">
        <f t="shared" si="5"/>
        <v>32.244</v>
      </c>
      <c r="D17" s="35">
        <f t="shared" si="6"/>
        <v>14.368</v>
      </c>
      <c r="E17" s="50">
        <f t="shared" si="7"/>
        <v>0.60599999999999998</v>
      </c>
      <c r="F17" s="29">
        <f t="shared" si="8"/>
        <v>2217</v>
      </c>
      <c r="G17" s="37">
        <v>3179.71</v>
      </c>
      <c r="H17" s="37">
        <v>5674.73</v>
      </c>
      <c r="I17" s="35">
        <v>4000</v>
      </c>
      <c r="J17" s="36">
        <f t="shared" si="9"/>
        <v>12854.439999999999</v>
      </c>
      <c r="K17" s="35">
        <f t="shared" si="10"/>
        <v>7416.8094884059028</v>
      </c>
      <c r="L17" s="38">
        <f t="shared" si="11"/>
        <v>20271.249488405902</v>
      </c>
      <c r="M17" s="13">
        <f t="shared" si="12"/>
        <v>0.27993982330717448</v>
      </c>
      <c r="N17" s="21">
        <f t="shared" si="13"/>
        <v>0.24037572128229101</v>
      </c>
      <c r="O17" s="51">
        <f t="shared" si="14"/>
        <v>3.9564102024883474E-2</v>
      </c>
      <c r="P17" s="21">
        <f t="shared" si="15"/>
        <v>0.31286042811522835</v>
      </c>
      <c r="Q17" s="21">
        <f t="shared" si="16"/>
        <v>0.59810340828793351</v>
      </c>
      <c r="R17" s="12">
        <v>32</v>
      </c>
      <c r="S17" s="46">
        <v>8061</v>
      </c>
      <c r="T17" s="49">
        <f>VLOOKUP(S17,'Mission Params'!$A$30:$F$41,3)</f>
        <v>0.44900000000000001</v>
      </c>
      <c r="U17" s="23">
        <f>VLOOKUP(S17,'Mission Params'!$A$30:$F$41,4)</f>
        <v>2217</v>
      </c>
      <c r="V17" s="23">
        <f>VLOOKUP(S17,'Mission Params'!$A$30:$F$41,5)</f>
        <v>0.60599999999999998</v>
      </c>
      <c r="W17" s="23">
        <f>VLOOKUP(S17,'Mission Params'!$A$30:$F$41,6)</f>
        <v>0.24964958249539881</v>
      </c>
      <c r="X17" s="46">
        <f t="shared" si="17"/>
        <v>29708.879999999997</v>
      </c>
    </row>
    <row r="18" spans="1:24" s="23" customFormat="1" x14ac:dyDescent="0.25">
      <c r="A18" t="s">
        <v>27</v>
      </c>
      <c r="B18" s="35">
        <f t="shared" si="4"/>
        <v>257.952</v>
      </c>
      <c r="C18" s="35">
        <f t="shared" si="5"/>
        <v>32.244</v>
      </c>
      <c r="D18" s="35">
        <f t="shared" si="6"/>
        <v>14.368</v>
      </c>
      <c r="E18" s="50">
        <f t="shared" si="7"/>
        <v>0.60599999999999998</v>
      </c>
      <c r="F18" s="29">
        <f t="shared" si="8"/>
        <v>2217</v>
      </c>
      <c r="G18" s="37">
        <v>3179.71</v>
      </c>
      <c r="H18" s="37">
        <v>5674.73</v>
      </c>
      <c r="I18" s="35">
        <v>8000</v>
      </c>
      <c r="J18" s="36">
        <f t="shared" si="9"/>
        <v>16854.439999999999</v>
      </c>
      <c r="K18" s="35">
        <f t="shared" si="10"/>
        <v>10412.60447835069</v>
      </c>
      <c r="L18" s="38">
        <f t="shared" si="11"/>
        <v>27267.04447835069</v>
      </c>
      <c r="M18" s="13">
        <f t="shared" si="12"/>
        <v>0.20811679844896958</v>
      </c>
      <c r="N18" s="21">
        <f t="shared" si="13"/>
        <v>0.22999805471298715</v>
      </c>
      <c r="O18" s="51">
        <f t="shared" si="14"/>
        <v>-2.1881256264017573E-2</v>
      </c>
      <c r="P18" s="21">
        <f t="shared" si="15"/>
        <v>0.27913378373600239</v>
      </c>
      <c r="Q18" s="21">
        <f t="shared" si="16"/>
        <v>0.64142823369827129</v>
      </c>
      <c r="R18" s="12">
        <v>32</v>
      </c>
      <c r="S18" s="46">
        <v>8061</v>
      </c>
      <c r="T18" s="49">
        <f>VLOOKUP(S18,'Mission Params'!$A$30:$F$41,3)</f>
        <v>0.44900000000000001</v>
      </c>
      <c r="U18" s="23">
        <f>VLOOKUP(S18,'Mission Params'!$A$30:$F$41,4)</f>
        <v>2217</v>
      </c>
      <c r="V18" s="23">
        <f>VLOOKUP(S18,'Mission Params'!$A$30:$F$41,5)</f>
        <v>0.60599999999999998</v>
      </c>
      <c r="W18" s="23">
        <f>VLOOKUP(S18,'Mission Params'!$A$30:$F$41,6)</f>
        <v>0.24964958249539881</v>
      </c>
      <c r="X18" s="46">
        <f t="shared" si="17"/>
        <v>41708.879999999997</v>
      </c>
    </row>
    <row r="19" spans="1:24" s="23" customFormat="1" x14ac:dyDescent="0.25">
      <c r="A19" t="s">
        <v>27</v>
      </c>
      <c r="B19" s="35">
        <f t="shared" si="4"/>
        <v>257.952</v>
      </c>
      <c r="C19" s="35">
        <f t="shared" si="5"/>
        <v>32.244</v>
      </c>
      <c r="D19" s="35">
        <f t="shared" si="6"/>
        <v>14.368</v>
      </c>
      <c r="E19" s="50">
        <f t="shared" si="7"/>
        <v>0.60599999999999998</v>
      </c>
      <c r="F19" s="29">
        <f t="shared" si="8"/>
        <v>2217</v>
      </c>
      <c r="G19" s="37">
        <v>3179.71</v>
      </c>
      <c r="H19" s="37">
        <v>5674.73</v>
      </c>
      <c r="I19" s="35">
        <v>12000</v>
      </c>
      <c r="J19" s="36">
        <f t="shared" si="9"/>
        <v>20854.439999999999</v>
      </c>
      <c r="K19" s="35">
        <f t="shared" si="10"/>
        <v>13408.399468295474</v>
      </c>
      <c r="L19" s="38">
        <f t="shared" si="11"/>
        <v>34262.839468295475</v>
      </c>
      <c r="M19" s="13">
        <f t="shared" si="12"/>
        <v>0.16562345935312842</v>
      </c>
      <c r="N19" s="21">
        <f t="shared" si="13"/>
        <v>0.21983693772724203</v>
      </c>
      <c r="O19" s="51">
        <f t="shared" si="14"/>
        <v>-5.4213478374113611E-2</v>
      </c>
      <c r="P19" s="21">
        <f t="shared" si="15"/>
        <v>0.25403083849703778</v>
      </c>
      <c r="Q19" s="21">
        <f t="shared" si="16"/>
        <v>0.67367516308545095</v>
      </c>
      <c r="R19" s="12">
        <v>32</v>
      </c>
      <c r="S19" s="46">
        <v>8061</v>
      </c>
      <c r="T19" s="49">
        <f>VLOOKUP(S19,'Mission Params'!$A$30:$F$41,3)</f>
        <v>0.44900000000000001</v>
      </c>
      <c r="U19" s="23">
        <f>VLOOKUP(S19,'Mission Params'!$A$30:$F$41,4)</f>
        <v>2217</v>
      </c>
      <c r="V19" s="23">
        <f>VLOOKUP(S19,'Mission Params'!$A$30:$F$41,5)</f>
        <v>0.60599999999999998</v>
      </c>
      <c r="W19" s="23">
        <f>VLOOKUP(S19,'Mission Params'!$A$30:$F$41,6)</f>
        <v>0.24964958249539881</v>
      </c>
      <c r="X19" s="46">
        <f t="shared" si="17"/>
        <v>53708.88</v>
      </c>
    </row>
    <row r="20" spans="1:24" s="79" customFormat="1" ht="15.75" thickBot="1" x14ac:dyDescent="0.3">
      <c r="A20" s="79" t="s">
        <v>27</v>
      </c>
      <c r="B20" s="69">
        <f t="shared" si="4"/>
        <v>386.928</v>
      </c>
      <c r="C20" s="69">
        <f t="shared" si="5"/>
        <v>32.244</v>
      </c>
      <c r="D20" s="69">
        <f t="shared" si="6"/>
        <v>21.552</v>
      </c>
      <c r="E20" s="70">
        <f t="shared" si="7"/>
        <v>0.60599999999999998</v>
      </c>
      <c r="F20" s="71">
        <f t="shared" si="8"/>
        <v>2217</v>
      </c>
      <c r="G20" s="80">
        <v>4095.6849999999999</v>
      </c>
      <c r="H20" s="80">
        <v>4613.0582194201679</v>
      </c>
      <c r="I20" s="69">
        <v>8000</v>
      </c>
      <c r="J20" s="73">
        <f t="shared" si="9"/>
        <v>16708.743219420168</v>
      </c>
      <c r="K20" s="69">
        <f t="shared" si="10"/>
        <v>10339.858197465332</v>
      </c>
      <c r="L20" s="74">
        <f t="shared" si="11"/>
        <v>27048.6014168855</v>
      </c>
      <c r="M20" s="75">
        <f t="shared" si="12"/>
        <v>0.170547014550645</v>
      </c>
      <c r="N20" s="75">
        <f t="shared" si="13"/>
        <v>0.21932892011412872</v>
      </c>
      <c r="O20" s="76">
        <f t="shared" si="14"/>
        <v>-4.8781905563483718E-2</v>
      </c>
      <c r="P20" s="75">
        <f t="shared" si="15"/>
        <v>0.25289705488412118</v>
      </c>
      <c r="Q20" s="75">
        <f t="shared" si="16"/>
        <v>0.67513160732966304</v>
      </c>
      <c r="R20" s="77">
        <v>48</v>
      </c>
      <c r="S20" s="46">
        <v>8061</v>
      </c>
      <c r="T20" s="78">
        <f>VLOOKUP(S20,'Mission Params'!$A$30:$F$41,3)</f>
        <v>0.44900000000000001</v>
      </c>
      <c r="U20" s="68">
        <f>VLOOKUP(S20,'Mission Params'!$A$30:$F$41,4)</f>
        <v>2217</v>
      </c>
      <c r="V20" s="68">
        <f>VLOOKUP(S20,'Mission Params'!$A$30:$F$41,5)</f>
        <v>0.60599999999999998</v>
      </c>
      <c r="W20" s="68">
        <f>VLOOKUP(S20,'Mission Params'!$A$30:$F$41,6)</f>
        <v>0.24964958249539881</v>
      </c>
      <c r="X20" s="77">
        <f t="shared" si="17"/>
        <v>41417.486438840337</v>
      </c>
    </row>
    <row r="21" spans="1:24" x14ac:dyDescent="0.25">
      <c r="A21" t="s">
        <v>35</v>
      </c>
      <c r="B21" s="35">
        <f t="shared" si="4"/>
        <v>217.77600000000001</v>
      </c>
      <c r="C21" s="35">
        <f t="shared" si="5"/>
        <v>18.148</v>
      </c>
      <c r="D21" s="35">
        <f t="shared" si="6"/>
        <v>12.48</v>
      </c>
      <c r="E21" s="50">
        <f t="shared" si="7"/>
        <v>0.58399999999999996</v>
      </c>
      <c r="F21" s="29">
        <f t="shared" si="8"/>
        <v>2077</v>
      </c>
      <c r="G21" s="37">
        <v>4095.6849999999999</v>
      </c>
      <c r="H21" s="37">
        <v>4613.0582194201679</v>
      </c>
      <c r="I21" s="35">
        <v>12000</v>
      </c>
      <c r="J21" s="36">
        <f t="shared" si="9"/>
        <v>20708.743219420168</v>
      </c>
      <c r="K21" s="35">
        <f t="shared" si="10"/>
        <v>14345.993403840472</v>
      </c>
      <c r="L21" s="38">
        <f t="shared" si="11"/>
        <v>35054.736623260644</v>
      </c>
      <c r="M21" s="13">
        <f t="shared" si="12"/>
        <v>0.13159586018281944</v>
      </c>
      <c r="N21" s="21">
        <f t="shared" si="13"/>
        <v>0.21076918075977649</v>
      </c>
      <c r="O21" s="51">
        <f t="shared" si="14"/>
        <v>-7.9173320576957057E-2</v>
      </c>
      <c r="P21" s="21">
        <f t="shared" si="15"/>
        <v>0.23073632915395573</v>
      </c>
      <c r="Q21" s="21">
        <f t="shared" si="16"/>
        <v>0.69806771377542454</v>
      </c>
      <c r="R21" s="46">
        <v>48</v>
      </c>
      <c r="S21" s="46">
        <v>4537</v>
      </c>
      <c r="T21" s="49">
        <f>VLOOKUP(S21,'Mission Params'!$A$30:$F$41,3)</f>
        <v>0.26</v>
      </c>
      <c r="U21" s="23">
        <f>VLOOKUP(S21,'Mission Params'!$A$30:$F$41,4)</f>
        <v>2077</v>
      </c>
      <c r="V21" s="23">
        <f>VLOOKUP(S21,'Mission Params'!$A$30:$F$41,5)</f>
        <v>0.58399999999999996</v>
      </c>
      <c r="W21" s="23">
        <f>VLOOKUP(S21,'Mission Params'!$A$30:$F$41,6)</f>
        <v>0.26856361765104264</v>
      </c>
      <c r="X21" s="46">
        <f t="shared" si="17"/>
        <v>53417.486438840337</v>
      </c>
    </row>
    <row r="22" spans="1:24" x14ac:dyDescent="0.25">
      <c r="A22" t="s">
        <v>35</v>
      </c>
      <c r="B22" s="35">
        <f t="shared" si="4"/>
        <v>217.77600000000001</v>
      </c>
      <c r="C22" s="35">
        <f t="shared" si="5"/>
        <v>18.148</v>
      </c>
      <c r="D22" s="35">
        <f t="shared" si="6"/>
        <v>12.48</v>
      </c>
      <c r="E22" s="50">
        <f t="shared" si="7"/>
        <v>0.58399999999999996</v>
      </c>
      <c r="F22" s="29">
        <f t="shared" si="8"/>
        <v>2077</v>
      </c>
      <c r="G22" s="37">
        <v>4095.6849999999999</v>
      </c>
      <c r="H22" s="37">
        <v>4613.0582194201679</v>
      </c>
      <c r="I22" s="35">
        <v>16000</v>
      </c>
      <c r="J22" s="36">
        <f t="shared" si="9"/>
        <v>24708.743219420168</v>
      </c>
      <c r="K22" s="35">
        <f t="shared" si="10"/>
        <v>17568.756815652981</v>
      </c>
      <c r="L22" s="38">
        <f t="shared" si="11"/>
        <v>42277.50003507315</v>
      </c>
      <c r="M22" s="13">
        <f t="shared" si="12"/>
        <v>0.1091137890270996</v>
      </c>
      <c r="N22" s="21">
        <f t="shared" si="13"/>
        <v>0.20095473974529202</v>
      </c>
      <c r="O22" s="51">
        <f t="shared" si="14"/>
        <v>-9.1840950718192413E-2</v>
      </c>
      <c r="P22" s="21">
        <f t="shared" si="15"/>
        <v>0.21285871193039557</v>
      </c>
      <c r="Q22" s="21">
        <f t="shared" si="16"/>
        <v>0.72146164510972999</v>
      </c>
      <c r="R22" s="46">
        <v>48</v>
      </c>
      <c r="S22" s="46">
        <v>4537</v>
      </c>
      <c r="T22" s="49">
        <f>VLOOKUP(S22,'Mission Params'!$A$30:$F$41,3)</f>
        <v>0.26</v>
      </c>
      <c r="U22" s="23">
        <f>VLOOKUP(S22,'Mission Params'!$A$30:$F$41,4)</f>
        <v>2077</v>
      </c>
      <c r="V22" s="23">
        <f>VLOOKUP(S22,'Mission Params'!$A$30:$F$41,5)</f>
        <v>0.58399999999999996</v>
      </c>
      <c r="W22" s="23">
        <f>VLOOKUP(S22,'Mission Params'!$A$30:$F$41,6)</f>
        <v>0.26856361765104264</v>
      </c>
      <c r="X22" s="46">
        <f t="shared" si="17"/>
        <v>65417.486438840337</v>
      </c>
    </row>
    <row r="23" spans="1:24" s="79" customFormat="1" ht="15.75" thickBot="1" x14ac:dyDescent="0.3">
      <c r="A23" s="79" t="s">
        <v>35</v>
      </c>
      <c r="B23" s="69">
        <f t="shared" si="4"/>
        <v>217.77600000000001</v>
      </c>
      <c r="C23" s="69">
        <f t="shared" si="5"/>
        <v>18.148</v>
      </c>
      <c r="D23" s="69">
        <f t="shared" si="6"/>
        <v>12.48</v>
      </c>
      <c r="E23" s="70">
        <f t="shared" si="7"/>
        <v>0.58399999999999996</v>
      </c>
      <c r="F23" s="71">
        <f t="shared" si="8"/>
        <v>2077</v>
      </c>
      <c r="G23" s="80">
        <v>4095.6849999999999</v>
      </c>
      <c r="H23" s="80">
        <v>4613.0582194201679</v>
      </c>
      <c r="I23" s="69">
        <v>24000</v>
      </c>
      <c r="J23" s="73">
        <f t="shared" si="9"/>
        <v>32708.743219420168</v>
      </c>
      <c r="K23" s="69">
        <f t="shared" si="10"/>
        <v>24014.283639278008</v>
      </c>
      <c r="L23" s="74">
        <f t="shared" si="11"/>
        <v>56723.026858698177</v>
      </c>
      <c r="M23" s="75">
        <f t="shared" si="12"/>
        <v>8.1326023572608055E-2</v>
      </c>
      <c r="N23" s="75">
        <f t="shared" si="13"/>
        <v>0.1846446064738034</v>
      </c>
      <c r="O23" s="76">
        <f t="shared" si="14"/>
        <v>-0.10331858290119535</v>
      </c>
      <c r="P23" s="75">
        <f t="shared" si="15"/>
        <v>0.18673429305533851</v>
      </c>
      <c r="Q23" s="75">
        <f t="shared" si="16"/>
        <v>0.75564700961716058</v>
      </c>
      <c r="R23" s="77">
        <v>48</v>
      </c>
      <c r="S23" s="77">
        <v>4537</v>
      </c>
      <c r="T23" s="78">
        <f>VLOOKUP(S23,'Mission Params'!$A$30:$F$41,3)</f>
        <v>0.26</v>
      </c>
      <c r="U23" s="68">
        <f>VLOOKUP(S23,'Mission Params'!$A$30:$F$41,4)</f>
        <v>2077</v>
      </c>
      <c r="V23" s="68">
        <f>VLOOKUP(S23,'Mission Params'!$A$30:$F$41,5)</f>
        <v>0.58399999999999996</v>
      </c>
      <c r="W23" s="68">
        <f>VLOOKUP(S23,'Mission Params'!$A$30:$F$41,6)</f>
        <v>0.26856361765104264</v>
      </c>
      <c r="X23" s="77">
        <f t="shared" si="17"/>
        <v>89417.486438840337</v>
      </c>
    </row>
    <row r="24" spans="1:24" x14ac:dyDescent="0.25">
      <c r="A24" t="s">
        <v>36</v>
      </c>
      <c r="B24" s="35">
        <f t="shared" si="4"/>
        <v>302.16000000000003</v>
      </c>
      <c r="C24" s="35">
        <f t="shared" si="5"/>
        <v>25.18</v>
      </c>
      <c r="D24" s="35">
        <f t="shared" si="6"/>
        <v>17.231999999999999</v>
      </c>
      <c r="E24" s="50">
        <f t="shared" si="7"/>
        <v>0.60599999999999998</v>
      </c>
      <c r="F24" s="29">
        <f t="shared" si="8"/>
        <v>2165</v>
      </c>
      <c r="G24" s="37">
        <v>4167.3599999999997</v>
      </c>
      <c r="H24" s="37">
        <v>7111.8236130672267</v>
      </c>
      <c r="I24" s="35">
        <v>8000</v>
      </c>
      <c r="J24" s="36">
        <f t="shared" si="9"/>
        <v>19279.183613067227</v>
      </c>
      <c r="K24" s="35">
        <f t="shared" si="10"/>
        <v>11935.54863687022</v>
      </c>
      <c r="L24" s="38">
        <f t="shared" si="11"/>
        <v>31214.73224993745</v>
      </c>
      <c r="M24" s="13">
        <f t="shared" si="12"/>
        <v>0.22783548345449858</v>
      </c>
      <c r="N24" s="21">
        <f t="shared" si="13"/>
        <v>0.23451645648041064</v>
      </c>
      <c r="O24" s="51">
        <f t="shared" si="14"/>
        <v>-6.680973025912057E-3</v>
      </c>
      <c r="P24" s="21">
        <f t="shared" si="15"/>
        <v>0.29236398115993306</v>
      </c>
      <c r="Q24" s="21">
        <f t="shared" si="16"/>
        <v>0.62443288761251725</v>
      </c>
      <c r="R24" s="46">
        <v>48</v>
      </c>
      <c r="S24" s="46">
        <v>6295</v>
      </c>
      <c r="T24" s="49">
        <f>VLOOKUP(S24,'Mission Params'!$A$30:$F$41,3)</f>
        <v>0.35899999999999999</v>
      </c>
      <c r="U24" s="23">
        <f>VLOOKUP(S24,'Mission Params'!$A$30:$F$41,4)</f>
        <v>2165</v>
      </c>
      <c r="V24" s="23">
        <f>VLOOKUP(S24,'Mission Params'!$A$30:$F$41,5)</f>
        <v>0.60599999999999998</v>
      </c>
      <c r="W24" s="23">
        <f>VLOOKUP(S24,'Mission Params'!$A$30:$F$41,6)</f>
        <v>0.25635668404991829</v>
      </c>
      <c r="X24" s="46">
        <f t="shared" si="17"/>
        <v>46558.367226134455</v>
      </c>
    </row>
    <row r="25" spans="1:24" x14ac:dyDescent="0.25">
      <c r="A25" t="s">
        <v>36</v>
      </c>
      <c r="B25" s="35">
        <f t="shared" si="4"/>
        <v>302.16000000000003</v>
      </c>
      <c r="C25" s="35">
        <f t="shared" si="5"/>
        <v>25.18</v>
      </c>
      <c r="D25" s="35">
        <f t="shared" si="6"/>
        <v>17.231999999999999</v>
      </c>
      <c r="E25" s="50">
        <f t="shared" si="7"/>
        <v>0.60599999999999998</v>
      </c>
      <c r="F25" s="29">
        <f t="shared" si="8"/>
        <v>2165</v>
      </c>
      <c r="G25" s="37">
        <v>4167.3599999999997</v>
      </c>
      <c r="H25" s="37">
        <v>7111.8236130672267</v>
      </c>
      <c r="I25" s="35">
        <v>12000</v>
      </c>
      <c r="J25" s="36">
        <f t="shared" si="9"/>
        <v>23279.183613067227</v>
      </c>
      <c r="K25" s="35">
        <f t="shared" si="10"/>
        <v>15011.828845469241</v>
      </c>
      <c r="L25" s="38">
        <f t="shared" si="11"/>
        <v>38291.012458536468</v>
      </c>
      <c r="M25" s="13">
        <f t="shared" si="12"/>
        <v>0.18573088451939695</v>
      </c>
      <c r="N25" s="21">
        <f t="shared" si="13"/>
        <v>0.22630826333424542</v>
      </c>
      <c r="O25" s="51">
        <f t="shared" si="14"/>
        <v>-4.0577378814848464E-2</v>
      </c>
      <c r="P25" s="21">
        <f t="shared" si="15"/>
        <v>0.26940850679545736</v>
      </c>
      <c r="Q25" s="21">
        <f t="shared" si="16"/>
        <v>0.65392120278166543</v>
      </c>
      <c r="R25" s="46">
        <v>48</v>
      </c>
      <c r="S25" s="46">
        <v>6295</v>
      </c>
      <c r="T25" s="49">
        <f>VLOOKUP(S25,'Mission Params'!$A$30:$F$41,3)</f>
        <v>0.35899999999999999</v>
      </c>
      <c r="U25" s="23">
        <f>VLOOKUP(S25,'Mission Params'!$A$30:$F$41,4)</f>
        <v>2165</v>
      </c>
      <c r="V25" s="23">
        <f>VLOOKUP(S25,'Mission Params'!$A$30:$F$41,5)</f>
        <v>0.60599999999999998</v>
      </c>
      <c r="W25" s="23">
        <f>VLOOKUP(S25,'Mission Params'!$A$30:$F$41,6)</f>
        <v>0.25635668404991829</v>
      </c>
      <c r="X25" s="46">
        <f t="shared" si="17"/>
        <v>58558.367226134455</v>
      </c>
    </row>
    <row r="26" spans="1:24" x14ac:dyDescent="0.25">
      <c r="A26" t="s">
        <v>36</v>
      </c>
      <c r="B26" s="35">
        <f t="shared" si="4"/>
        <v>302.16000000000003</v>
      </c>
      <c r="C26" s="35">
        <f t="shared" si="5"/>
        <v>25.18</v>
      </c>
      <c r="D26" s="35">
        <f t="shared" si="6"/>
        <v>17.231999999999999</v>
      </c>
      <c r="E26" s="50">
        <f t="shared" si="7"/>
        <v>0.60599999999999998</v>
      </c>
      <c r="F26" s="29">
        <f t="shared" si="8"/>
        <v>2165</v>
      </c>
      <c r="G26" s="37">
        <v>4167.3599999999997</v>
      </c>
      <c r="H26" s="37">
        <v>7111.8236130672267</v>
      </c>
      <c r="I26" s="35">
        <v>16000</v>
      </c>
      <c r="J26" s="36">
        <f t="shared" si="9"/>
        <v>27279.183613067227</v>
      </c>
      <c r="K26" s="35">
        <f t="shared" si="10"/>
        <v>18088.109054068264</v>
      </c>
      <c r="L26" s="38">
        <f t="shared" si="11"/>
        <v>45367.292667135494</v>
      </c>
      <c r="M26" s="13">
        <f t="shared" si="12"/>
        <v>0.15676103190127325</v>
      </c>
      <c r="N26" s="21">
        <f t="shared" si="13"/>
        <v>0.21845953812019839</v>
      </c>
      <c r="O26" s="51">
        <f t="shared" si="14"/>
        <v>-6.1698506218925142E-2</v>
      </c>
      <c r="P26" s="21">
        <f t="shared" si="15"/>
        <v>0.25097835488395903</v>
      </c>
      <c r="Q26" s="21">
        <f t="shared" si="16"/>
        <v>0.67759634534472157</v>
      </c>
      <c r="R26" s="46">
        <v>48</v>
      </c>
      <c r="S26" s="46">
        <v>6295</v>
      </c>
      <c r="T26" s="49">
        <f>VLOOKUP(S26,'Mission Params'!$A$30:$F$41,3)</f>
        <v>0.35899999999999999</v>
      </c>
      <c r="U26" s="23">
        <f>VLOOKUP(S26,'Mission Params'!$A$30:$F$41,4)</f>
        <v>2165</v>
      </c>
      <c r="V26" s="23">
        <f>VLOOKUP(S26,'Mission Params'!$A$30:$F$41,5)</f>
        <v>0.60599999999999998</v>
      </c>
      <c r="W26" s="23">
        <f>VLOOKUP(S26,'Mission Params'!$A$30:$F$41,6)</f>
        <v>0.25635668404991829</v>
      </c>
      <c r="X26" s="46">
        <f t="shared" si="17"/>
        <v>70558.367226134462</v>
      </c>
    </row>
    <row r="27" spans="1:24" s="79" customFormat="1" ht="15.75" thickBot="1" x14ac:dyDescent="0.3">
      <c r="A27" s="79" t="s">
        <v>36</v>
      </c>
      <c r="B27" s="69">
        <f t="shared" si="4"/>
        <v>302.16000000000003</v>
      </c>
      <c r="C27" s="69">
        <f t="shared" si="5"/>
        <v>25.18</v>
      </c>
      <c r="D27" s="69">
        <f t="shared" si="6"/>
        <v>17.231999999999999</v>
      </c>
      <c r="E27" s="70">
        <f t="shared" si="7"/>
        <v>0.60599999999999998</v>
      </c>
      <c r="F27" s="71">
        <f t="shared" si="8"/>
        <v>2165</v>
      </c>
      <c r="G27" s="80">
        <v>4167.3599999999997</v>
      </c>
      <c r="H27" s="80">
        <v>7111.8236130672267</v>
      </c>
      <c r="I27" s="69">
        <v>24000</v>
      </c>
      <c r="J27" s="73">
        <f t="shared" si="9"/>
        <v>35279.183613067231</v>
      </c>
      <c r="K27" s="69">
        <f t="shared" si="10"/>
        <v>24240.669471266301</v>
      </c>
      <c r="L27" s="74">
        <f t="shared" si="11"/>
        <v>59519.853084333532</v>
      </c>
      <c r="M27" s="75">
        <f t="shared" si="12"/>
        <v>0.11948657875533567</v>
      </c>
      <c r="N27" s="75">
        <f t="shared" si="13"/>
        <v>0.20443126467862144</v>
      </c>
      <c r="O27" s="76">
        <f t="shared" si="14"/>
        <v>-8.4944685923285773E-2</v>
      </c>
      <c r="P27" s="75">
        <f t="shared" si="15"/>
        <v>0.22305343554669049</v>
      </c>
      <c r="Q27" s="75">
        <f t="shared" si="16"/>
        <v>0.71346834735243203</v>
      </c>
      <c r="R27" s="77">
        <v>48</v>
      </c>
      <c r="S27" s="77">
        <v>6295</v>
      </c>
      <c r="T27" s="78">
        <f>VLOOKUP(S27,'Mission Params'!$A$30:$F$41,3)</f>
        <v>0.35899999999999999</v>
      </c>
      <c r="U27" s="68">
        <f>VLOOKUP(S27,'Mission Params'!$A$30:$F$41,4)</f>
        <v>2165</v>
      </c>
      <c r="V27" s="68">
        <f>VLOOKUP(S27,'Mission Params'!$A$30:$F$41,5)</f>
        <v>0.60599999999999998</v>
      </c>
      <c r="W27" s="68">
        <f>VLOOKUP(S27,'Mission Params'!$A$30:$F$41,6)</f>
        <v>0.25635668404991829</v>
      </c>
      <c r="X27" s="77">
        <f t="shared" si="17"/>
        <v>94558.367226134462</v>
      </c>
    </row>
    <row r="28" spans="1:24" x14ac:dyDescent="0.25">
      <c r="A28" t="s">
        <v>37</v>
      </c>
      <c r="B28" s="35">
        <f t="shared" si="4"/>
        <v>386.928</v>
      </c>
      <c r="C28" s="35">
        <f t="shared" si="5"/>
        <v>32.244</v>
      </c>
      <c r="D28" s="35">
        <f t="shared" si="6"/>
        <v>21.552</v>
      </c>
      <c r="E28" s="50">
        <f t="shared" si="7"/>
        <v>0.60599999999999998</v>
      </c>
      <c r="F28" s="29">
        <f t="shared" si="8"/>
        <v>2217</v>
      </c>
      <c r="G28" s="37">
        <v>4237.8599999999997</v>
      </c>
      <c r="H28" s="37">
        <v>10110.297348596639</v>
      </c>
      <c r="I28" s="35">
        <v>8000</v>
      </c>
      <c r="J28" s="36">
        <f t="shared" si="9"/>
        <v>22348.15734859664</v>
      </c>
      <c r="K28" s="35">
        <f t="shared" si="10"/>
        <v>13155.61296320045</v>
      </c>
      <c r="L28" s="38">
        <f t="shared" si="11"/>
        <v>35503.770311797089</v>
      </c>
      <c r="M28" s="13">
        <f t="shared" si="12"/>
        <v>0.28476686447121419</v>
      </c>
      <c r="N28" s="21">
        <f t="shared" si="13"/>
        <v>0.24179703225249835</v>
      </c>
      <c r="O28" s="51">
        <f t="shared" si="14"/>
        <v>4.2969832218715837E-2</v>
      </c>
      <c r="P28" s="21">
        <f t="shared" si="15"/>
        <v>0.31872470112900231</v>
      </c>
      <c r="Q28" s="21">
        <f t="shared" si="16"/>
        <v>0.59057023654325769</v>
      </c>
      <c r="R28" s="46">
        <v>48</v>
      </c>
      <c r="S28" s="46">
        <v>8061</v>
      </c>
      <c r="T28" s="49">
        <f>VLOOKUP(S28,'Mission Params'!$A$30:$F$41,3)</f>
        <v>0.44900000000000001</v>
      </c>
      <c r="U28" s="23">
        <f>VLOOKUP(S28,'Mission Params'!$A$30:$F$41,4)</f>
        <v>2217</v>
      </c>
      <c r="V28" s="23">
        <f>VLOOKUP(S28,'Mission Params'!$A$30:$F$41,5)</f>
        <v>0.60599999999999998</v>
      </c>
      <c r="W28" s="23">
        <f>VLOOKUP(S28,'Mission Params'!$A$30:$F$41,6)</f>
        <v>0.24964958249539881</v>
      </c>
      <c r="X28" s="46">
        <f t="shared" si="17"/>
        <v>52696.31469719328</v>
      </c>
    </row>
    <row r="29" spans="1:24" s="23" customFormat="1" x14ac:dyDescent="0.25">
      <c r="A29" t="s">
        <v>37</v>
      </c>
      <c r="B29" s="35">
        <f t="shared" si="4"/>
        <v>386.928</v>
      </c>
      <c r="C29" s="35">
        <f t="shared" si="5"/>
        <v>32.244</v>
      </c>
      <c r="D29" s="35">
        <f t="shared" si="6"/>
        <v>21.552</v>
      </c>
      <c r="E29" s="50">
        <f t="shared" si="7"/>
        <v>0.60599999999999998</v>
      </c>
      <c r="F29" s="29">
        <f t="shared" si="8"/>
        <v>2217</v>
      </c>
      <c r="G29" s="37">
        <v>4237.8599999999997</v>
      </c>
      <c r="H29" s="37">
        <v>10110.297348596639</v>
      </c>
      <c r="I29" s="35">
        <v>12000</v>
      </c>
      <c r="J29" s="36">
        <f t="shared" si="9"/>
        <v>26348.15734859664</v>
      </c>
      <c r="K29" s="35">
        <f t="shared" si="10"/>
        <v>16151.407953145237</v>
      </c>
      <c r="L29" s="38">
        <f t="shared" si="11"/>
        <v>42499.565301741881</v>
      </c>
      <c r="M29" s="13">
        <f t="shared" si="12"/>
        <v>0.23789178258212115</v>
      </c>
      <c r="N29" s="21">
        <f t="shared" si="13"/>
        <v>0.23604618563044732</v>
      </c>
      <c r="O29" s="51">
        <f t="shared" si="14"/>
        <v>1.845596951673828E-3</v>
      </c>
      <c r="P29" s="21">
        <f t="shared" si="15"/>
        <v>0.29727343508723236</v>
      </c>
      <c r="Q29" s="21">
        <f t="shared" si="16"/>
        <v>0.61812626452043884</v>
      </c>
      <c r="R29" s="46">
        <v>48</v>
      </c>
      <c r="S29" s="46">
        <v>8061</v>
      </c>
      <c r="T29" s="49">
        <f>VLOOKUP(S29,'Mission Params'!$A$30:$F$41,3)</f>
        <v>0.44900000000000001</v>
      </c>
      <c r="U29" s="23">
        <f>VLOOKUP(S29,'Mission Params'!$A$30:$F$41,4)</f>
        <v>2217</v>
      </c>
      <c r="V29" s="23">
        <f>VLOOKUP(S29,'Mission Params'!$A$30:$F$41,5)</f>
        <v>0.60599999999999998</v>
      </c>
      <c r="W29" s="23">
        <f>VLOOKUP(S29,'Mission Params'!$A$30:$F$41,6)</f>
        <v>0.24964958249539881</v>
      </c>
      <c r="X29" s="46">
        <f t="shared" si="17"/>
        <v>64696.31469719328</v>
      </c>
    </row>
    <row r="30" spans="1:24" x14ac:dyDescent="0.25">
      <c r="A30" t="s">
        <v>37</v>
      </c>
      <c r="B30" s="35">
        <f t="shared" si="4"/>
        <v>386.928</v>
      </c>
      <c r="C30" s="35">
        <f t="shared" si="5"/>
        <v>32.244</v>
      </c>
      <c r="D30" s="35">
        <f t="shared" si="6"/>
        <v>21.552</v>
      </c>
      <c r="E30" s="50">
        <f t="shared" si="7"/>
        <v>0.60599999999999998</v>
      </c>
      <c r="F30" s="29">
        <f t="shared" si="8"/>
        <v>2217</v>
      </c>
      <c r="G30" s="37">
        <v>4237.8599999999997</v>
      </c>
      <c r="H30" s="37">
        <v>10110.297348596639</v>
      </c>
      <c r="I30" s="35">
        <v>16000</v>
      </c>
      <c r="J30" s="36">
        <f t="shared" si="9"/>
        <v>30348.15734859664</v>
      </c>
      <c r="K30" s="35">
        <f t="shared" si="10"/>
        <v>19147.202943090022</v>
      </c>
      <c r="L30" s="38">
        <f t="shared" si="11"/>
        <v>49495.360291686666</v>
      </c>
      <c r="M30" s="13">
        <f t="shared" si="12"/>
        <v>0.20426757758736397</v>
      </c>
      <c r="N30" s="21">
        <f t="shared" si="13"/>
        <v>0.23011708320738009</v>
      </c>
      <c r="O30" s="51">
        <f t="shared" si="14"/>
        <v>-2.5849505620016117E-2</v>
      </c>
      <c r="P30" s="21">
        <f t="shared" si="15"/>
        <v>0.27946185537674784</v>
      </c>
      <c r="Q30" s="21">
        <f t="shared" si="16"/>
        <v>0.64100679697312435</v>
      </c>
      <c r="R30" s="46">
        <v>48</v>
      </c>
      <c r="S30" s="46">
        <v>8061</v>
      </c>
      <c r="T30" s="49">
        <f>VLOOKUP(S30,'Mission Params'!$A$30:$F$41,3)</f>
        <v>0.44900000000000001</v>
      </c>
      <c r="U30" s="23">
        <f>VLOOKUP(S30,'Mission Params'!$A$30:$F$41,4)</f>
        <v>2217</v>
      </c>
      <c r="V30" s="23">
        <f>VLOOKUP(S30,'Mission Params'!$A$30:$F$41,5)</f>
        <v>0.60599999999999998</v>
      </c>
      <c r="W30" s="23">
        <f>VLOOKUP(S30,'Mission Params'!$A$30:$F$41,6)</f>
        <v>0.24964958249539881</v>
      </c>
      <c r="X30" s="46">
        <f t="shared" si="17"/>
        <v>76696.314697193273</v>
      </c>
    </row>
    <row r="31" spans="1:24" s="79" customFormat="1" ht="15.75" thickBot="1" x14ac:dyDescent="0.3">
      <c r="A31" s="79" t="s">
        <v>37</v>
      </c>
      <c r="B31" s="69">
        <f t="shared" si="4"/>
        <v>386.928</v>
      </c>
      <c r="C31" s="69">
        <f t="shared" si="5"/>
        <v>32.244</v>
      </c>
      <c r="D31" s="69">
        <f t="shared" si="6"/>
        <v>21.552</v>
      </c>
      <c r="E31" s="70">
        <f t="shared" si="7"/>
        <v>0.60599999999999998</v>
      </c>
      <c r="F31" s="71">
        <f t="shared" si="8"/>
        <v>2217</v>
      </c>
      <c r="G31" s="80">
        <v>4237.8599999999997</v>
      </c>
      <c r="H31" s="80">
        <v>10110.297348596639</v>
      </c>
      <c r="I31" s="69">
        <v>24000</v>
      </c>
      <c r="J31" s="73">
        <f t="shared" si="9"/>
        <v>38348.157348596636</v>
      </c>
      <c r="K31" s="69">
        <f t="shared" si="10"/>
        <v>25138.792922979592</v>
      </c>
      <c r="L31" s="74">
        <f t="shared" si="11"/>
        <v>63486.950271576228</v>
      </c>
      <c r="M31" s="75">
        <f t="shared" si="12"/>
        <v>0.15925000815676485</v>
      </c>
      <c r="N31" s="75">
        <f t="shared" si="13"/>
        <v>0.21870710950671726</v>
      </c>
      <c r="O31" s="76">
        <f t="shared" si="14"/>
        <v>-5.9457101349952413E-2</v>
      </c>
      <c r="P31" s="75">
        <f t="shared" si="15"/>
        <v>0.25152201502099353</v>
      </c>
      <c r="Q31" s="75">
        <f t="shared" si="16"/>
        <v>0.67689796633450239</v>
      </c>
      <c r="R31" s="77">
        <v>48</v>
      </c>
      <c r="S31" s="77">
        <v>8061</v>
      </c>
      <c r="T31" s="78">
        <f>VLOOKUP(S31,'Mission Params'!$A$30:$F$41,3)</f>
        <v>0.44900000000000001</v>
      </c>
      <c r="U31" s="68">
        <f>VLOOKUP(S31,'Mission Params'!$A$30:$F$41,4)</f>
        <v>2217</v>
      </c>
      <c r="V31" s="68">
        <f>VLOOKUP(S31,'Mission Params'!$A$30:$F$41,5)</f>
        <v>0.60599999999999998</v>
      </c>
      <c r="W31" s="68">
        <f>VLOOKUP(S31,'Mission Params'!$A$30:$F$41,6)</f>
        <v>0.24964958249539881</v>
      </c>
      <c r="X31" s="77">
        <f t="shared" si="17"/>
        <v>100696.31469719327</v>
      </c>
    </row>
    <row r="32" spans="1:24" x14ac:dyDescent="0.25">
      <c r="A32" t="s">
        <v>34</v>
      </c>
      <c r="B32" s="35">
        <f t="shared" si="4"/>
        <v>290.36799999999999</v>
      </c>
      <c r="C32" s="35">
        <f t="shared" si="5"/>
        <v>18.148</v>
      </c>
      <c r="D32" s="35">
        <f t="shared" si="6"/>
        <v>16.64</v>
      </c>
      <c r="E32" s="50">
        <f t="shared" si="7"/>
        <v>0.58399999999999996</v>
      </c>
      <c r="F32" s="29">
        <f t="shared" si="8"/>
        <v>2077</v>
      </c>
      <c r="G32" s="37">
        <v>5119.7599999999993</v>
      </c>
      <c r="H32" s="37">
        <v>7200.5849127871152</v>
      </c>
      <c r="I32" s="35">
        <v>12000</v>
      </c>
      <c r="J32" s="36">
        <f t="shared" si="9"/>
        <v>24320.344912787114</v>
      </c>
      <c r="K32" s="35">
        <f t="shared" si="10"/>
        <v>16285.883036410989</v>
      </c>
      <c r="L32" s="38">
        <f t="shared" si="11"/>
        <v>40606.227949198103</v>
      </c>
      <c r="M32" s="13">
        <f t="shared" si="12"/>
        <v>0.17732710661516426</v>
      </c>
      <c r="N32" s="21">
        <f t="shared" si="13"/>
        <v>0.22584913383671329</v>
      </c>
      <c r="O32" s="51">
        <f t="shared" si="14"/>
        <v>-4.8522027221549024E-2</v>
      </c>
      <c r="P32" s="21">
        <f t="shared" si="15"/>
        <v>0.26333875517636579</v>
      </c>
      <c r="Q32" s="21">
        <f t="shared" si="16"/>
        <v>0.65540548948890676</v>
      </c>
      <c r="R32" s="12">
        <v>64</v>
      </c>
      <c r="S32" s="46">
        <v>4537</v>
      </c>
      <c r="T32" s="49">
        <f>VLOOKUP(S32,'Mission Params'!$A$30:$F$41,3)</f>
        <v>0.26</v>
      </c>
      <c r="U32" s="23">
        <f>VLOOKUP(S32,'Mission Params'!$A$30:$F$41,4)</f>
        <v>2077</v>
      </c>
      <c r="V32" s="23">
        <f>VLOOKUP(S32,'Mission Params'!$A$30:$F$41,5)</f>
        <v>0.58399999999999996</v>
      </c>
      <c r="W32" s="23">
        <f>VLOOKUP(S32,'Mission Params'!$A$30:$F$41,6)</f>
        <v>0.26856361765104264</v>
      </c>
      <c r="X32" s="46">
        <f t="shared" si="17"/>
        <v>60640.689825574227</v>
      </c>
    </row>
    <row r="33" spans="1:24" x14ac:dyDescent="0.25">
      <c r="A33" t="s">
        <v>34</v>
      </c>
      <c r="B33" s="35">
        <f t="shared" si="4"/>
        <v>290.36799999999999</v>
      </c>
      <c r="C33" s="35">
        <f t="shared" si="5"/>
        <v>18.148</v>
      </c>
      <c r="D33" s="35">
        <f t="shared" si="6"/>
        <v>16.64</v>
      </c>
      <c r="E33" s="50">
        <f t="shared" si="7"/>
        <v>0.58399999999999996</v>
      </c>
      <c r="F33" s="29">
        <f t="shared" si="8"/>
        <v>2077</v>
      </c>
      <c r="G33" s="37">
        <v>5119.7599999999993</v>
      </c>
      <c r="H33" s="37">
        <v>7200.5849127871152</v>
      </c>
      <c r="I33" s="35">
        <v>16000</v>
      </c>
      <c r="J33" s="36">
        <f t="shared" si="9"/>
        <v>28320.344912787114</v>
      </c>
      <c r="K33" s="35">
        <f t="shared" si="10"/>
        <v>19508.646448223499</v>
      </c>
      <c r="L33" s="38">
        <f t="shared" si="11"/>
        <v>47828.991361010616</v>
      </c>
      <c r="M33" s="13">
        <f t="shared" si="12"/>
        <v>0.15054854195936296</v>
      </c>
      <c r="N33" s="21">
        <f t="shared" si="13"/>
        <v>0.21832832727741946</v>
      </c>
      <c r="O33" s="51">
        <f t="shared" si="14"/>
        <v>-6.7779785318056507E-2</v>
      </c>
      <c r="P33" s="21">
        <f t="shared" si="15"/>
        <v>0.24609851911918246</v>
      </c>
      <c r="Q33" s="21">
        <f t="shared" si="16"/>
        <v>0.67796536944748698</v>
      </c>
      <c r="R33" s="12">
        <v>64</v>
      </c>
      <c r="S33" s="46">
        <v>4537</v>
      </c>
      <c r="T33" s="49">
        <f>VLOOKUP(S33,'Mission Params'!$A$30:$F$41,3)</f>
        <v>0.26</v>
      </c>
      <c r="U33" s="23">
        <f>VLOOKUP(S33,'Mission Params'!$A$30:$F$41,4)</f>
        <v>2077</v>
      </c>
      <c r="V33" s="23">
        <f>VLOOKUP(S33,'Mission Params'!$A$30:$F$41,5)</f>
        <v>0.58399999999999996</v>
      </c>
      <c r="W33" s="23">
        <f>VLOOKUP(S33,'Mission Params'!$A$30:$F$41,6)</f>
        <v>0.26856361765104264</v>
      </c>
      <c r="X33" s="46">
        <f t="shared" si="17"/>
        <v>72640.689825574227</v>
      </c>
    </row>
    <row r="34" spans="1:24" x14ac:dyDescent="0.25">
      <c r="A34" t="s">
        <v>34</v>
      </c>
      <c r="B34" s="35">
        <f t="shared" si="4"/>
        <v>290.36799999999999</v>
      </c>
      <c r="C34" s="35">
        <f t="shared" si="5"/>
        <v>18.148</v>
      </c>
      <c r="D34" s="35">
        <f t="shared" si="6"/>
        <v>16.64</v>
      </c>
      <c r="E34" s="50">
        <f t="shared" si="7"/>
        <v>0.58399999999999996</v>
      </c>
      <c r="F34" s="29">
        <f t="shared" si="8"/>
        <v>2077</v>
      </c>
      <c r="G34" s="37">
        <v>5119.7599999999993</v>
      </c>
      <c r="H34" s="37">
        <v>7200.5849127871152</v>
      </c>
      <c r="I34" s="35">
        <v>24000</v>
      </c>
      <c r="J34" s="36">
        <f t="shared" si="9"/>
        <v>36320.344912787114</v>
      </c>
      <c r="K34" s="35">
        <f t="shared" si="10"/>
        <v>25954.173271848522</v>
      </c>
      <c r="L34" s="38">
        <f t="shared" si="11"/>
        <v>62274.518184635635</v>
      </c>
      <c r="M34" s="13">
        <f t="shared" si="12"/>
        <v>0.11562650539404162</v>
      </c>
      <c r="N34" s="21">
        <f t="shared" si="13"/>
        <v>0.20482109203697485</v>
      </c>
      <c r="O34" s="51">
        <f t="shared" si="14"/>
        <v>-8.9194586642933227E-2</v>
      </c>
      <c r="P34" s="21">
        <f t="shared" si="15"/>
        <v>0.21966645499071555</v>
      </c>
      <c r="Q34" s="21">
        <f t="shared" si="16"/>
        <v>0.71255330616818258</v>
      </c>
      <c r="R34" s="12">
        <v>64</v>
      </c>
      <c r="S34" s="46">
        <v>4537</v>
      </c>
      <c r="T34" s="49">
        <f>VLOOKUP(S34,'Mission Params'!$A$30:$F$41,3)</f>
        <v>0.26</v>
      </c>
      <c r="U34" s="23">
        <f>VLOOKUP(S34,'Mission Params'!$A$30:$F$41,4)</f>
        <v>2077</v>
      </c>
      <c r="V34" s="23">
        <f>VLOOKUP(S34,'Mission Params'!$A$30:$F$41,5)</f>
        <v>0.58399999999999996</v>
      </c>
      <c r="W34" s="23">
        <f>VLOOKUP(S34,'Mission Params'!$A$30:$F$41,6)</f>
        <v>0.26856361765104264</v>
      </c>
      <c r="X34" s="46">
        <f t="shared" si="17"/>
        <v>96640.689825574227</v>
      </c>
    </row>
    <row r="35" spans="1:24" s="79" customFormat="1" ht="15.75" thickBot="1" x14ac:dyDescent="0.3">
      <c r="A35" s="79" t="s">
        <v>34</v>
      </c>
      <c r="B35" s="69">
        <f t="shared" si="4"/>
        <v>290.36799999999999</v>
      </c>
      <c r="C35" s="69">
        <f t="shared" si="5"/>
        <v>18.148</v>
      </c>
      <c r="D35" s="69">
        <f t="shared" si="6"/>
        <v>16.64</v>
      </c>
      <c r="E35" s="70">
        <f t="shared" si="7"/>
        <v>0.58399999999999996</v>
      </c>
      <c r="F35" s="71">
        <f t="shared" si="8"/>
        <v>2077</v>
      </c>
      <c r="G35" s="80">
        <v>5119.7599999999993</v>
      </c>
      <c r="H35" s="80">
        <v>7200.5849127871152</v>
      </c>
      <c r="I35" s="69">
        <v>36000</v>
      </c>
      <c r="J35" s="73">
        <f t="shared" si="9"/>
        <v>48320.344912787114</v>
      </c>
      <c r="K35" s="69">
        <f t="shared" si="10"/>
        <v>35622.463507286062</v>
      </c>
      <c r="L35" s="74">
        <f t="shared" si="11"/>
        <v>83942.808420073183</v>
      </c>
      <c r="M35" s="75">
        <f t="shared" si="12"/>
        <v>8.5779652221705333E-2</v>
      </c>
      <c r="N35" s="75">
        <f t="shared" si="13"/>
        <v>0.18823367982451913</v>
      </c>
      <c r="O35" s="76">
        <f t="shared" si="14"/>
        <v>-0.1024540276028138</v>
      </c>
      <c r="P35" s="75">
        <f t="shared" si="15"/>
        <v>0.19217439673430375</v>
      </c>
      <c r="Q35" s="75">
        <f t="shared" si="16"/>
        <v>0.7485283085998069</v>
      </c>
      <c r="R35" s="82">
        <v>64</v>
      </c>
      <c r="S35" s="77">
        <v>4537</v>
      </c>
      <c r="T35" s="78">
        <f>VLOOKUP(S35,'Mission Params'!$A$30:$F$41,3)</f>
        <v>0.26</v>
      </c>
      <c r="U35" s="68">
        <f>VLOOKUP(S35,'Mission Params'!$A$30:$F$41,4)</f>
        <v>2077</v>
      </c>
      <c r="V35" s="68">
        <f>VLOOKUP(S35,'Mission Params'!$A$30:$F$41,5)</f>
        <v>0.58399999999999996</v>
      </c>
      <c r="W35" s="68">
        <f>VLOOKUP(S35,'Mission Params'!$A$30:$F$41,6)</f>
        <v>0.26856361765104264</v>
      </c>
      <c r="X35" s="77">
        <f t="shared" si="17"/>
        <v>132640.68982557423</v>
      </c>
    </row>
    <row r="36" spans="1:24" x14ac:dyDescent="0.25">
      <c r="A36" t="s">
        <v>28</v>
      </c>
      <c r="B36" s="35">
        <f t="shared" si="4"/>
        <v>402.88</v>
      </c>
      <c r="C36" s="35">
        <f t="shared" si="5"/>
        <v>25.18</v>
      </c>
      <c r="D36" s="35">
        <f t="shared" si="6"/>
        <v>22.975999999999999</v>
      </c>
      <c r="E36" s="50">
        <f t="shared" si="7"/>
        <v>0.60599999999999998</v>
      </c>
      <c r="F36" s="29">
        <f t="shared" si="8"/>
        <v>2165</v>
      </c>
      <c r="G36" s="37">
        <v>5207.8900000000003</v>
      </c>
      <c r="H36" s="37">
        <v>11047.87</v>
      </c>
      <c r="I36" s="35">
        <v>12000</v>
      </c>
      <c r="J36" s="36">
        <f t="shared" si="9"/>
        <v>28255.760000000002</v>
      </c>
      <c r="K36" s="35">
        <f t="shared" si="10"/>
        <v>17563.386086419658</v>
      </c>
      <c r="L36" s="38">
        <f t="shared" si="11"/>
        <v>45819.146086419656</v>
      </c>
      <c r="M36" s="13">
        <f t="shared" si="12"/>
        <v>0.24111907234505361</v>
      </c>
      <c r="N36" s="21">
        <f t="shared" si="13"/>
        <v>0.2372622912038459</v>
      </c>
      <c r="O36" s="51">
        <f t="shared" si="14"/>
        <v>3.8567811412077158E-3</v>
      </c>
      <c r="P36" s="21">
        <f t="shared" si="15"/>
        <v>0.30137187614206223</v>
      </c>
      <c r="Q36" s="21">
        <f t="shared" si="16"/>
        <v>0.61286145841762851</v>
      </c>
      <c r="R36" s="12">
        <v>64</v>
      </c>
      <c r="S36" s="46">
        <v>6295</v>
      </c>
      <c r="T36" s="49">
        <f>VLOOKUP(S36,'Mission Params'!$A$30:$F$41,3)</f>
        <v>0.35899999999999999</v>
      </c>
      <c r="U36" s="23">
        <f>VLOOKUP(S36,'Mission Params'!$A$30:$F$41,4)</f>
        <v>2165</v>
      </c>
      <c r="V36" s="23">
        <f>VLOOKUP(S36,'Mission Params'!$A$30:$F$41,5)</f>
        <v>0.60599999999999998</v>
      </c>
      <c r="W36" s="23">
        <f>VLOOKUP(S36,'Mission Params'!$A$30:$F$41,6)</f>
        <v>0.25635668404991829</v>
      </c>
      <c r="X36" s="46">
        <f t="shared" si="17"/>
        <v>68511.520000000004</v>
      </c>
    </row>
    <row r="37" spans="1:24" x14ac:dyDescent="0.25">
      <c r="A37" t="s">
        <v>28</v>
      </c>
      <c r="B37" s="35">
        <f t="shared" si="4"/>
        <v>402.88</v>
      </c>
      <c r="C37" s="35">
        <f t="shared" si="5"/>
        <v>25.18</v>
      </c>
      <c r="D37" s="35">
        <f t="shared" si="6"/>
        <v>22.975999999999999</v>
      </c>
      <c r="E37" s="50">
        <f t="shared" si="7"/>
        <v>0.60599999999999998</v>
      </c>
      <c r="F37" s="29">
        <f t="shared" si="8"/>
        <v>2165</v>
      </c>
      <c r="G37" s="37">
        <v>5207.8900000000003</v>
      </c>
      <c r="H37" s="37">
        <v>11047.87</v>
      </c>
      <c r="I37" s="35">
        <v>16000</v>
      </c>
      <c r="J37" s="36">
        <f t="shared" si="9"/>
        <v>32255.760000000002</v>
      </c>
      <c r="K37" s="35">
        <f t="shared" si="10"/>
        <v>20639.66629501868</v>
      </c>
      <c r="L37" s="38">
        <f t="shared" si="11"/>
        <v>52895.426295018682</v>
      </c>
      <c r="M37" s="13">
        <f t="shared" si="12"/>
        <v>0.20886248157603773</v>
      </c>
      <c r="N37" s="21">
        <f t="shared" si="13"/>
        <v>0.23193024170689452</v>
      </c>
      <c r="O37" s="51">
        <f t="shared" si="14"/>
        <v>-2.306776013085679E-2</v>
      </c>
      <c r="P37" s="21">
        <f t="shared" si="15"/>
        <v>0.28458645449047504</v>
      </c>
      <c r="Q37" s="21">
        <f t="shared" si="16"/>
        <v>0.63442380106627505</v>
      </c>
      <c r="R37" s="12">
        <v>64</v>
      </c>
      <c r="S37" s="46">
        <v>6295</v>
      </c>
      <c r="T37" s="49">
        <f>VLOOKUP(S37,'Mission Params'!$A$30:$F$41,3)</f>
        <v>0.35899999999999999</v>
      </c>
      <c r="U37" s="23">
        <f>VLOOKUP(S37,'Mission Params'!$A$30:$F$41,4)</f>
        <v>2165</v>
      </c>
      <c r="V37" s="23">
        <f>VLOOKUP(S37,'Mission Params'!$A$30:$F$41,5)</f>
        <v>0.60599999999999998</v>
      </c>
      <c r="W37" s="23">
        <f>VLOOKUP(S37,'Mission Params'!$A$30:$F$41,6)</f>
        <v>0.25635668404991829</v>
      </c>
      <c r="X37" s="46">
        <f t="shared" si="17"/>
        <v>80511.520000000004</v>
      </c>
    </row>
    <row r="38" spans="1:24" x14ac:dyDescent="0.25">
      <c r="A38" t="s">
        <v>28</v>
      </c>
      <c r="B38" s="35">
        <f t="shared" si="4"/>
        <v>402.88</v>
      </c>
      <c r="C38" s="35">
        <f t="shared" si="5"/>
        <v>25.18</v>
      </c>
      <c r="D38" s="35">
        <f t="shared" si="6"/>
        <v>22.975999999999999</v>
      </c>
      <c r="E38" s="50">
        <f t="shared" si="7"/>
        <v>0.60599999999999998</v>
      </c>
      <c r="F38" s="29">
        <f t="shared" si="8"/>
        <v>2165</v>
      </c>
      <c r="G38" s="37">
        <v>5207.8900000000003</v>
      </c>
      <c r="H38" s="37">
        <v>11047.87</v>
      </c>
      <c r="I38" s="35">
        <v>24000</v>
      </c>
      <c r="J38" s="36">
        <f t="shared" si="9"/>
        <v>40255.760000000002</v>
      </c>
      <c r="K38" s="35">
        <f t="shared" si="10"/>
        <v>26792.226712216718</v>
      </c>
      <c r="L38" s="38">
        <f t="shared" si="11"/>
        <v>67047.98671221672</v>
      </c>
      <c r="M38" s="13">
        <f t="shared" si="12"/>
        <v>0.16477556660156931</v>
      </c>
      <c r="N38" s="21">
        <f t="shared" si="13"/>
        <v>0.22149277696965367</v>
      </c>
      <c r="O38" s="51">
        <f t="shared" si="14"/>
        <v>-5.6717210368084359E-2</v>
      </c>
      <c r="P38" s="21">
        <f t="shared" si="15"/>
        <v>0.25779418007692778</v>
      </c>
      <c r="Q38" s="21">
        <f t="shared" si="16"/>
        <v>0.66884082157566738</v>
      </c>
      <c r="R38" s="12">
        <v>64</v>
      </c>
      <c r="S38" s="46">
        <v>6295</v>
      </c>
      <c r="T38" s="49">
        <f>VLOOKUP(S38,'Mission Params'!$A$30:$F$41,3)</f>
        <v>0.35899999999999999</v>
      </c>
      <c r="U38" s="23">
        <f>VLOOKUP(S38,'Mission Params'!$A$30:$F$41,4)</f>
        <v>2165</v>
      </c>
      <c r="V38" s="23">
        <f>VLOOKUP(S38,'Mission Params'!$A$30:$F$41,5)</f>
        <v>0.60599999999999998</v>
      </c>
      <c r="W38" s="23">
        <f>VLOOKUP(S38,'Mission Params'!$A$30:$F$41,6)</f>
        <v>0.25635668404991829</v>
      </c>
      <c r="X38" s="46">
        <f t="shared" si="17"/>
        <v>104511.52</v>
      </c>
    </row>
    <row r="39" spans="1:24" s="79" customFormat="1" ht="15.75" thickBot="1" x14ac:dyDescent="0.3">
      <c r="A39" s="79" t="s">
        <v>28</v>
      </c>
      <c r="B39" s="69">
        <f t="shared" si="4"/>
        <v>402.88</v>
      </c>
      <c r="C39" s="69">
        <f t="shared" si="5"/>
        <v>25.18</v>
      </c>
      <c r="D39" s="69">
        <f t="shared" si="6"/>
        <v>22.975999999999999</v>
      </c>
      <c r="E39" s="70">
        <f t="shared" si="7"/>
        <v>0.60599999999999998</v>
      </c>
      <c r="F39" s="71">
        <f t="shared" si="8"/>
        <v>2165</v>
      </c>
      <c r="G39" s="80">
        <v>5207.8900000000003</v>
      </c>
      <c r="H39" s="80">
        <v>11047.87</v>
      </c>
      <c r="I39" s="69">
        <v>36000</v>
      </c>
      <c r="J39" s="73">
        <f t="shared" si="9"/>
        <v>52255.76</v>
      </c>
      <c r="K39" s="69">
        <f t="shared" si="10"/>
        <v>36021.067338013781</v>
      </c>
      <c r="L39" s="74">
        <f t="shared" si="11"/>
        <v>88276.827338013783</v>
      </c>
      <c r="M39" s="75">
        <f t="shared" si="12"/>
        <v>0.12515028386438809</v>
      </c>
      <c r="N39" s="75">
        <f t="shared" si="13"/>
        <v>0.20744677707983858</v>
      </c>
      <c r="O39" s="76">
        <f t="shared" si="14"/>
        <v>-8.2296493215450489E-2</v>
      </c>
      <c r="P39" s="75">
        <f t="shared" si="15"/>
        <v>0.22864590937960116</v>
      </c>
      <c r="Q39" s="75">
        <f t="shared" si="16"/>
        <v>0.70628432543497199</v>
      </c>
      <c r="R39" s="82">
        <v>64</v>
      </c>
      <c r="S39" s="77">
        <v>6295</v>
      </c>
      <c r="T39" s="78">
        <f>VLOOKUP(S39,'Mission Params'!$A$30:$F$41,3)</f>
        <v>0.35899999999999999</v>
      </c>
      <c r="U39" s="68">
        <f>VLOOKUP(S39,'Mission Params'!$A$30:$F$41,4)</f>
        <v>2165</v>
      </c>
      <c r="V39" s="68">
        <f>VLOOKUP(S39,'Mission Params'!$A$30:$F$41,5)</f>
        <v>0.60599999999999998</v>
      </c>
      <c r="W39" s="68">
        <f>VLOOKUP(S39,'Mission Params'!$A$30:$F$41,6)</f>
        <v>0.25635668404991829</v>
      </c>
      <c r="X39" s="77">
        <f t="shared" si="17"/>
        <v>140511.52000000002</v>
      </c>
    </row>
    <row r="40" spans="1:24" x14ac:dyDescent="0.25">
      <c r="A40" t="s">
        <v>29</v>
      </c>
      <c r="B40" s="35">
        <f t="shared" si="4"/>
        <v>515.904</v>
      </c>
      <c r="C40" s="35">
        <f t="shared" si="5"/>
        <v>32.244</v>
      </c>
      <c r="D40" s="35">
        <f t="shared" si="6"/>
        <v>28.736000000000001</v>
      </c>
      <c r="E40" s="50">
        <f t="shared" si="7"/>
        <v>0.60599999999999998</v>
      </c>
      <c r="F40" s="29">
        <f t="shared" si="8"/>
        <v>2217</v>
      </c>
      <c r="G40" s="12">
        <v>5297.19</v>
      </c>
      <c r="H40" s="12">
        <v>15720.53</v>
      </c>
      <c r="I40" s="35">
        <v>12000</v>
      </c>
      <c r="J40" s="36">
        <f t="shared" si="9"/>
        <v>33017.72</v>
      </c>
      <c r="K40" s="35">
        <f t="shared" si="10"/>
        <v>19481.515015844747</v>
      </c>
      <c r="L40" s="38">
        <f t="shared" si="11"/>
        <v>52499.235015844752</v>
      </c>
      <c r="M40" s="13">
        <f t="shared" si="12"/>
        <v>0.29944302988901456</v>
      </c>
      <c r="N40" s="21">
        <f t="shared" si="13"/>
        <v>0.2436533912441026</v>
      </c>
      <c r="O40" s="51">
        <f t="shared" si="14"/>
        <v>5.578963864491196E-2</v>
      </c>
      <c r="P40" s="21">
        <f t="shared" si="15"/>
        <v>0.32721352013519073</v>
      </c>
      <c r="Q40" s="21">
        <f t="shared" si="16"/>
        <v>0.57966560585282334</v>
      </c>
      <c r="R40" s="12">
        <v>64</v>
      </c>
      <c r="S40" s="46">
        <v>8061</v>
      </c>
      <c r="T40" s="49">
        <f>VLOOKUP(S40,'Mission Params'!$A$30:$F$41,3)</f>
        <v>0.44900000000000001</v>
      </c>
      <c r="U40" s="23">
        <f>VLOOKUP(S40,'Mission Params'!$A$30:$F$41,4)</f>
        <v>2217</v>
      </c>
      <c r="V40" s="23">
        <f>VLOOKUP(S40,'Mission Params'!$A$30:$F$41,5)</f>
        <v>0.60599999999999998</v>
      </c>
      <c r="W40" s="23">
        <f>VLOOKUP(S40,'Mission Params'!$A$30:$F$41,6)</f>
        <v>0.24964958249539881</v>
      </c>
      <c r="X40" s="46">
        <f t="shared" si="17"/>
        <v>78035.44</v>
      </c>
    </row>
    <row r="41" spans="1:24" x14ac:dyDescent="0.25">
      <c r="A41" t="s">
        <v>29</v>
      </c>
      <c r="B41" s="35">
        <f t="shared" si="4"/>
        <v>515.904</v>
      </c>
      <c r="C41" s="35">
        <f t="shared" si="5"/>
        <v>32.244</v>
      </c>
      <c r="D41" s="35">
        <f t="shared" si="6"/>
        <v>28.736000000000001</v>
      </c>
      <c r="E41" s="50">
        <f t="shared" si="7"/>
        <v>0.60599999999999998</v>
      </c>
      <c r="F41" s="29">
        <f t="shared" si="8"/>
        <v>2217</v>
      </c>
      <c r="G41" s="12">
        <v>5297.19</v>
      </c>
      <c r="H41" s="12">
        <v>15720.53</v>
      </c>
      <c r="I41" s="35">
        <v>16000</v>
      </c>
      <c r="J41" s="36">
        <f t="shared" si="9"/>
        <v>37017.72</v>
      </c>
      <c r="K41" s="35">
        <f t="shared" si="10"/>
        <v>22477.310005789532</v>
      </c>
      <c r="L41" s="38">
        <f t="shared" si="11"/>
        <v>59495.030005789537</v>
      </c>
      <c r="M41" s="13">
        <f t="shared" si="12"/>
        <v>0.26423265940819285</v>
      </c>
      <c r="N41" s="21">
        <f t="shared" si="13"/>
        <v>0.24011040310732629</v>
      </c>
      <c r="O41" s="51">
        <f t="shared" si="14"/>
        <v>2.4122256300866562E-2</v>
      </c>
      <c r="P41" s="21">
        <f t="shared" si="15"/>
        <v>0.31181492198014188</v>
      </c>
      <c r="Q41" s="21">
        <f t="shared" si="16"/>
        <v>0.59944645238857808</v>
      </c>
      <c r="R41" s="12">
        <v>64</v>
      </c>
      <c r="S41" s="46">
        <v>8061</v>
      </c>
      <c r="T41" s="49">
        <f>VLOOKUP(S41,'Mission Params'!$A$30:$F$41,3)</f>
        <v>0.44900000000000001</v>
      </c>
      <c r="U41" s="23">
        <f>VLOOKUP(S41,'Mission Params'!$A$30:$F$41,4)</f>
        <v>2217</v>
      </c>
      <c r="V41" s="23">
        <f>VLOOKUP(S41,'Mission Params'!$A$30:$F$41,5)</f>
        <v>0.60599999999999998</v>
      </c>
      <c r="W41" s="23">
        <f>VLOOKUP(S41,'Mission Params'!$A$30:$F$41,6)</f>
        <v>0.24964958249539881</v>
      </c>
      <c r="X41" s="46">
        <f t="shared" si="17"/>
        <v>90035.44</v>
      </c>
    </row>
    <row r="42" spans="1:24" x14ac:dyDescent="0.25">
      <c r="A42" t="s">
        <v>29</v>
      </c>
      <c r="B42" s="35">
        <f t="shared" si="4"/>
        <v>515.904</v>
      </c>
      <c r="C42" s="35">
        <f t="shared" si="5"/>
        <v>32.244</v>
      </c>
      <c r="D42" s="35">
        <f t="shared" si="6"/>
        <v>28.736000000000001</v>
      </c>
      <c r="E42" s="50">
        <f t="shared" si="7"/>
        <v>0.60599999999999998</v>
      </c>
      <c r="F42" s="29">
        <f t="shared" si="8"/>
        <v>2217</v>
      </c>
      <c r="G42" s="12">
        <v>5297.19</v>
      </c>
      <c r="H42" s="12">
        <v>15720.53</v>
      </c>
      <c r="I42" s="35">
        <v>24000</v>
      </c>
      <c r="J42" s="36">
        <f t="shared" si="9"/>
        <v>45017.72</v>
      </c>
      <c r="K42" s="35">
        <f t="shared" si="10"/>
        <v>28468.899985679102</v>
      </c>
      <c r="L42" s="38">
        <f t="shared" si="11"/>
        <v>73486.619985679106</v>
      </c>
      <c r="M42" s="13">
        <f t="shared" si="12"/>
        <v>0.21392370479229525</v>
      </c>
      <c r="N42" s="21">
        <f t="shared" si="13"/>
        <v>0.2325256960897715</v>
      </c>
      <c r="O42" s="51">
        <f t="shared" si="14"/>
        <v>-1.860199129747625E-2</v>
      </c>
      <c r="P42" s="21">
        <f t="shared" si="15"/>
        <v>0.28632506186535683</v>
      </c>
      <c r="Q42" s="21">
        <f t="shared" si="16"/>
        <v>0.63219040778448521</v>
      </c>
      <c r="R42" s="12">
        <v>64</v>
      </c>
      <c r="S42" s="46">
        <v>8061</v>
      </c>
      <c r="T42" s="49">
        <f>VLOOKUP(S42,'Mission Params'!$A$30:$F$41,3)</f>
        <v>0.44900000000000001</v>
      </c>
      <c r="U42" s="23">
        <f>VLOOKUP(S42,'Mission Params'!$A$30:$F$41,4)</f>
        <v>2217</v>
      </c>
      <c r="V42" s="23">
        <f>VLOOKUP(S42,'Mission Params'!$A$30:$F$41,5)</f>
        <v>0.60599999999999998</v>
      </c>
      <c r="W42" s="23">
        <f>VLOOKUP(S42,'Mission Params'!$A$30:$F$41,6)</f>
        <v>0.24964958249539881</v>
      </c>
      <c r="X42" s="46">
        <f t="shared" si="17"/>
        <v>114035.44</v>
      </c>
    </row>
    <row r="43" spans="1:24" s="79" customFormat="1" ht="15.75" thickBot="1" x14ac:dyDescent="0.3">
      <c r="A43" s="79" t="s">
        <v>29</v>
      </c>
      <c r="B43" s="69">
        <f t="shared" si="4"/>
        <v>515.904</v>
      </c>
      <c r="C43" s="69">
        <f t="shared" si="5"/>
        <v>32.244</v>
      </c>
      <c r="D43" s="69">
        <f t="shared" si="6"/>
        <v>28.736000000000001</v>
      </c>
      <c r="E43" s="70">
        <f t="shared" si="7"/>
        <v>0.60599999999999998</v>
      </c>
      <c r="F43" s="71">
        <f t="shared" si="8"/>
        <v>2217</v>
      </c>
      <c r="G43" s="82">
        <v>5297.19</v>
      </c>
      <c r="H43" s="82">
        <v>15720.53</v>
      </c>
      <c r="I43" s="69">
        <v>36000</v>
      </c>
      <c r="J43" s="73">
        <f t="shared" si="9"/>
        <v>57017.72</v>
      </c>
      <c r="K43" s="69">
        <f t="shared" si="10"/>
        <v>37456.28495551346</v>
      </c>
      <c r="L43" s="74">
        <f t="shared" si="11"/>
        <v>94474.004955513461</v>
      </c>
      <c r="M43" s="75">
        <f t="shared" si="12"/>
        <v>0.16640058826131682</v>
      </c>
      <c r="N43" s="75">
        <f t="shared" si="13"/>
        <v>0.22131189428627451</v>
      </c>
      <c r="O43" s="76">
        <f t="shared" si="14"/>
        <v>-5.4911306024957696E-2</v>
      </c>
      <c r="P43" s="75">
        <f t="shared" si="15"/>
        <v>0.25737784925006468</v>
      </c>
      <c r="Q43" s="75">
        <f t="shared" si="16"/>
        <v>0.66937563494707697</v>
      </c>
      <c r="R43" s="82">
        <v>64</v>
      </c>
      <c r="S43" s="77">
        <v>8061</v>
      </c>
      <c r="T43" s="78">
        <f>VLOOKUP(S43,'Mission Params'!$A$30:$F$41,3)</f>
        <v>0.44900000000000001</v>
      </c>
      <c r="U43" s="68">
        <f>VLOOKUP(S43,'Mission Params'!$A$30:$F$41,4)</f>
        <v>2217</v>
      </c>
      <c r="V43" s="68">
        <f>VLOOKUP(S43,'Mission Params'!$A$30:$F$41,5)</f>
        <v>0.60599999999999998</v>
      </c>
      <c r="W43" s="68">
        <f>VLOOKUP(S43,'Mission Params'!$A$30:$F$41,6)</f>
        <v>0.24964958249539881</v>
      </c>
      <c r="X43" s="77">
        <f t="shared" si="17"/>
        <v>150035.44</v>
      </c>
    </row>
    <row r="44" spans="1:24" x14ac:dyDescent="0.25">
      <c r="B44" s="35"/>
      <c r="C44" s="35"/>
      <c r="R44" s="12"/>
      <c r="S44" s="46"/>
      <c r="T44" s="49"/>
      <c r="U44" s="23"/>
      <c r="V44" s="23"/>
      <c r="W44" s="23"/>
      <c r="X44" s="46"/>
    </row>
  </sheetData>
  <conditionalFormatting sqref="O2">
    <cfRule type="expression" dxfId="47" priority="15">
      <formula>ABS($O2)&lt;_xlnm.Criteria</formula>
    </cfRule>
  </conditionalFormatting>
  <conditionalFormatting sqref="I2">
    <cfRule type="expression" dxfId="46" priority="11">
      <formula>ABS($O2)&lt;_xlnm.Criteria</formula>
    </cfRule>
  </conditionalFormatting>
  <conditionalFormatting sqref="I3:I43">
    <cfRule type="expression" dxfId="45" priority="3">
      <formula>ABS($O3)&lt;_xlnm.Criteria</formula>
    </cfRule>
  </conditionalFormatting>
  <conditionalFormatting sqref="O3:O43">
    <cfRule type="expression" dxfId="44" priority="2">
      <formula>ABS($O3)&lt;_xlnm.Criteria</formula>
    </cfRule>
  </conditionalFormatting>
  <conditionalFormatting sqref="K2:K43">
    <cfRule type="expression" dxfId="43" priority="1">
      <formula>ABS($O2)&lt;_xlnm.Criteria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D5F3F-2DB8-4B54-814D-9E8DFC4B2347}">
  <sheetPr>
    <pageSetUpPr fitToPage="1"/>
  </sheetPr>
  <dimension ref="A1:X44"/>
  <sheetViews>
    <sheetView zoomScale="80" zoomScaleNormal="80" workbookViewId="0">
      <selection activeCell="C2" sqref="C2:C43"/>
    </sheetView>
  </sheetViews>
  <sheetFormatPr defaultRowHeight="15" x14ac:dyDescent="0.25"/>
  <cols>
    <col min="1" max="1" width="17.28515625" customWidth="1"/>
    <col min="2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3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45" t="s">
        <v>23</v>
      </c>
      <c r="N1" s="44" t="s">
        <v>22</v>
      </c>
      <c r="O1" s="43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85" customFormat="1" x14ac:dyDescent="0.25">
      <c r="A2" s="85" t="s">
        <v>38</v>
      </c>
      <c r="B2" s="99">
        <f>R2*S2*0.001</f>
        <v>72.704000000000008</v>
      </c>
      <c r="C2" s="99">
        <f>4*S2*0.001</f>
        <v>18.176000000000002</v>
      </c>
      <c r="D2" s="99">
        <f>T2*R2</f>
        <v>3.1680000000000001</v>
      </c>
      <c r="E2" s="100">
        <f>V2</f>
        <v>0.58399999999999996</v>
      </c>
      <c r="F2" s="29">
        <f>U2</f>
        <v>2696</v>
      </c>
      <c r="G2" s="101">
        <v>2066.335</v>
      </c>
      <c r="H2" s="99">
        <v>1251.8299065686274</v>
      </c>
      <c r="I2" s="99">
        <v>2000</v>
      </c>
      <c r="J2" s="103">
        <f>SUM(G2:I2)</f>
        <v>5318.164906568627</v>
      </c>
      <c r="K2" s="99">
        <f>(2*J2+I2)*W2</f>
        <v>2541.6081239243763</v>
      </c>
      <c r="L2" s="104">
        <f t="shared" ref="L2" si="0">SUM(J2,K2)</f>
        <v>7859.7730304930028</v>
      </c>
      <c r="M2" s="13">
        <f t="shared" ref="M2" si="1">H2/L2</f>
        <v>0.15927049059966386</v>
      </c>
      <c r="N2" s="13">
        <f t="shared" ref="N2:N10" si="2">Q2*(1-Q2)</f>
        <v>0.19977615856641492</v>
      </c>
      <c r="O2" s="105">
        <f>(M2-N2)</f>
        <v>-4.0505667966751063E-2</v>
      </c>
      <c r="P2" s="13">
        <f t="shared" ref="P2" si="3">SQRT(E2*H2*(1/J2 - 1/L2))</f>
        <v>0.21083731531673761</v>
      </c>
      <c r="Q2" s="13">
        <f t="shared" ref="Q2" si="4">1-(P2/SQRT(E2))</f>
        <v>0.72410676347130865</v>
      </c>
      <c r="R2" s="106">
        <v>16</v>
      </c>
      <c r="S2" s="106">
        <v>4544</v>
      </c>
      <c r="T2" s="107">
        <f>VLOOKUP(S2,'Mission Params'!$A$30:$F$41,3)</f>
        <v>0.19800000000000001</v>
      </c>
      <c r="U2" s="85">
        <f>VLOOKUP(S2,'Mission Params'!$A$30:$F$41,4)</f>
        <v>2696</v>
      </c>
      <c r="V2" s="85">
        <f>VLOOKUP(S2,'Mission Params'!$A$30:$F$41,5)</f>
        <v>0.58399999999999996</v>
      </c>
      <c r="W2" s="85">
        <f>VLOOKUP(S2,'Mission Params'!$A$30:$F$41,6)</f>
        <v>0.20113499421976266</v>
      </c>
      <c r="X2" s="106">
        <f>(I2+2*J2)</f>
        <v>12636.329813137254</v>
      </c>
    </row>
    <row r="3" spans="1:24" s="85" customFormat="1" x14ac:dyDescent="0.25">
      <c r="A3" s="85" t="s">
        <v>38</v>
      </c>
      <c r="B3" s="99">
        <f t="shared" ref="B3:B43" si="5">R3*S3*0.001</f>
        <v>72.704000000000008</v>
      </c>
      <c r="C3" s="99">
        <f t="shared" ref="C3:C43" si="6">4*S3*0.001</f>
        <v>18.176000000000002</v>
      </c>
      <c r="D3" s="99">
        <f t="shared" ref="D3:D43" si="7">T3*R3</f>
        <v>3.1680000000000001</v>
      </c>
      <c r="E3" s="100">
        <f t="shared" ref="E3:E43" si="8">V3</f>
        <v>0.58399999999999996</v>
      </c>
      <c r="F3" s="29">
        <f t="shared" ref="F3:F43" si="9">U3</f>
        <v>2696</v>
      </c>
      <c r="G3" s="101">
        <v>2066.335</v>
      </c>
      <c r="H3" s="99">
        <v>1251.8299065686274</v>
      </c>
      <c r="I3" s="99">
        <v>4000</v>
      </c>
      <c r="J3" s="103">
        <f>SUM(G3:I3)</f>
        <v>7318.164906568627</v>
      </c>
      <c r="K3" s="99">
        <f t="shared" ref="K3:K43" si="10">(2*J3+I3)*W3</f>
        <v>3748.4180892429522</v>
      </c>
      <c r="L3" s="104">
        <f t="shared" ref="L3:L10" si="11">SUM(J3,K3)</f>
        <v>11066.582995811579</v>
      </c>
      <c r="M3" s="13">
        <f t="shared" ref="M3:M10" si="12">H3/L3</f>
        <v>0.1131180154743712</v>
      </c>
      <c r="N3" s="13">
        <f t="shared" si="2"/>
        <v>0.18276716464241147</v>
      </c>
      <c r="O3" s="105">
        <f t="shared" ref="O3:O43" si="13">(M3-N3)</f>
        <v>-6.964914916804027E-2</v>
      </c>
      <c r="P3" s="13">
        <f t="shared" ref="P3:P10" si="14">SQRT(E3*H3*(1/J3 - 1/L3))</f>
        <v>0.18394806720803467</v>
      </c>
      <c r="Q3" s="13">
        <f t="shared" ref="Q3:Q10" si="15">1-(P3/SQRT(E3))</f>
        <v>0.75929295277270559</v>
      </c>
      <c r="R3" s="106">
        <v>16</v>
      </c>
      <c r="S3" s="106">
        <v>4544</v>
      </c>
      <c r="T3" s="107">
        <f>VLOOKUP(S3,'Mission Params'!$A$30:$F$41,3)</f>
        <v>0.19800000000000001</v>
      </c>
      <c r="U3" s="85">
        <f>VLOOKUP(S3,'Mission Params'!$A$30:$F$41,4)</f>
        <v>2696</v>
      </c>
      <c r="V3" s="85">
        <f>VLOOKUP(S3,'Mission Params'!$A$30:$F$41,5)</f>
        <v>0.58399999999999996</v>
      </c>
      <c r="W3" s="85">
        <f>VLOOKUP(S3,'Mission Params'!$A$30:$F$41,6)</f>
        <v>0.20113499421976266</v>
      </c>
      <c r="X3" s="106">
        <f t="shared" ref="X3:X34" si="16">(I3+2*J3)</f>
        <v>18636.329813137254</v>
      </c>
    </row>
    <row r="4" spans="1:24" s="68" customFormat="1" ht="15.75" thickBot="1" x14ac:dyDescent="0.3">
      <c r="A4" s="68" t="s">
        <v>38</v>
      </c>
      <c r="B4" s="69">
        <f t="shared" si="5"/>
        <v>72.704000000000008</v>
      </c>
      <c r="C4" s="69">
        <f t="shared" si="6"/>
        <v>18.176000000000002</v>
      </c>
      <c r="D4" s="69">
        <f t="shared" si="7"/>
        <v>3.1680000000000001</v>
      </c>
      <c r="E4" s="70">
        <f t="shared" si="8"/>
        <v>0.58399999999999996</v>
      </c>
      <c r="F4" s="71">
        <f t="shared" si="9"/>
        <v>2696</v>
      </c>
      <c r="G4" s="72">
        <v>2066.335</v>
      </c>
      <c r="H4" s="69">
        <v>1251.8299065686274</v>
      </c>
      <c r="I4" s="69">
        <v>8000</v>
      </c>
      <c r="J4" s="73">
        <f t="shared" ref="J4:J10" si="17">SUM(G4:I4)</f>
        <v>11318.164906568627</v>
      </c>
      <c r="K4" s="69">
        <f t="shared" si="10"/>
        <v>6162.038019880104</v>
      </c>
      <c r="L4" s="74">
        <f t="shared" si="11"/>
        <v>17480.202926448732</v>
      </c>
      <c r="M4" s="75">
        <f t="shared" si="12"/>
        <v>7.1614151839995172E-2</v>
      </c>
      <c r="N4" s="75">
        <f t="shared" si="2"/>
        <v>0.1584680275391451</v>
      </c>
      <c r="O4" s="76">
        <f t="shared" si="13"/>
        <v>-8.6853875699149929E-2</v>
      </c>
      <c r="P4" s="75">
        <f t="shared" si="14"/>
        <v>0.15089679932554137</v>
      </c>
      <c r="Q4" s="75">
        <f t="shared" si="15"/>
        <v>0.80254251347679206</v>
      </c>
      <c r="R4" s="77">
        <v>16</v>
      </c>
      <c r="S4" s="77">
        <v>4544</v>
      </c>
      <c r="T4" s="78">
        <f>VLOOKUP(S4,'Mission Params'!$A$30:$F$41,3)</f>
        <v>0.19800000000000001</v>
      </c>
      <c r="U4" s="68">
        <f>VLOOKUP(S4,'Mission Params'!$A$30:$F$41,4)</f>
        <v>2696</v>
      </c>
      <c r="V4" s="68">
        <f>VLOOKUP(S4,'Mission Params'!$A$30:$F$41,5)</f>
        <v>0.58399999999999996</v>
      </c>
      <c r="W4" s="68">
        <f>VLOOKUP(S4,'Mission Params'!$A$30:$F$41,6)</f>
        <v>0.20113499421976266</v>
      </c>
      <c r="X4" s="77">
        <f t="shared" si="16"/>
        <v>30636.329813137254</v>
      </c>
    </row>
    <row r="5" spans="1:24" s="87" customFormat="1" x14ac:dyDescent="0.25">
      <c r="A5" s="87" t="s">
        <v>42</v>
      </c>
      <c r="B5" s="99">
        <f t="shared" si="5"/>
        <v>101.232</v>
      </c>
      <c r="C5" s="99">
        <f t="shared" si="6"/>
        <v>25.308</v>
      </c>
      <c r="D5" s="88">
        <f t="shared" si="7"/>
        <v>4.72</v>
      </c>
      <c r="E5" s="89">
        <f t="shared" si="8"/>
        <v>0.60599999999999998</v>
      </c>
      <c r="F5" s="90">
        <f t="shared" si="9"/>
        <v>2583</v>
      </c>
      <c r="G5" s="91">
        <v>2102.7600000000002</v>
      </c>
      <c r="H5" s="88">
        <v>1946.6407117450981</v>
      </c>
      <c r="I5" s="88">
        <v>2000</v>
      </c>
      <c r="J5" s="93">
        <f t="shared" ref="J5" si="18">SUM(G5:I5)</f>
        <v>6049.4007117450983</v>
      </c>
      <c r="K5" s="88">
        <f t="shared" si="10"/>
        <v>2972.0806905330473</v>
      </c>
      <c r="L5" s="94">
        <f t="shared" ref="L5" si="19">SUM(J5,K5)</f>
        <v>9021.4814022781466</v>
      </c>
      <c r="M5" s="95">
        <f t="shared" ref="M5" si="20">H5/L5</f>
        <v>0.21577838771063956</v>
      </c>
      <c r="N5" s="95">
        <f t="shared" si="2"/>
        <v>0.21958299178222968</v>
      </c>
      <c r="O5" s="96">
        <f t="shared" si="13"/>
        <v>-3.8046040715901119E-3</v>
      </c>
      <c r="P5" s="95">
        <f t="shared" ref="P5" si="21">SQRT(E5*H5*(1/J5 - 1/L5))</f>
        <v>0.25346290345808459</v>
      </c>
      <c r="Q5" s="95">
        <f t="shared" ref="Q5" si="22">1-(P5/SQRT(E5))</f>
        <v>0.67440472533096785</v>
      </c>
      <c r="R5" s="97">
        <v>16</v>
      </c>
      <c r="S5" s="97">
        <v>6327</v>
      </c>
      <c r="T5" s="98">
        <f>VLOOKUP(S5,'Mission Params'!$A$30:$F$41,3)</f>
        <v>0.29499999999999998</v>
      </c>
      <c r="U5" s="87">
        <f>VLOOKUP(S5,'Mission Params'!$A$30:$F$41,4)</f>
        <v>2583</v>
      </c>
      <c r="V5" s="87">
        <f>VLOOKUP(S5,'Mission Params'!$A$30:$F$41,5)</f>
        <v>0.60599999999999998</v>
      </c>
      <c r="W5" s="87">
        <f>VLOOKUP(S5,'Mission Params'!$A$30:$F$41,6)</f>
        <v>0.21080378404232469</v>
      </c>
      <c r="X5" s="97">
        <f t="shared" si="16"/>
        <v>14098.801423490197</v>
      </c>
    </row>
    <row r="6" spans="1:24" s="85" customFormat="1" x14ac:dyDescent="0.25">
      <c r="A6" s="85" t="s">
        <v>42</v>
      </c>
      <c r="B6" s="99">
        <f t="shared" si="5"/>
        <v>101.232</v>
      </c>
      <c r="C6" s="99">
        <f t="shared" si="6"/>
        <v>25.308</v>
      </c>
      <c r="D6" s="99">
        <f t="shared" si="7"/>
        <v>4.72</v>
      </c>
      <c r="E6" s="100">
        <f t="shared" si="8"/>
        <v>0.60599999999999998</v>
      </c>
      <c r="F6" s="29">
        <f t="shared" si="9"/>
        <v>2583</v>
      </c>
      <c r="G6" s="101">
        <v>2102.7600000000002</v>
      </c>
      <c r="H6" s="99">
        <v>1946.6407117450981</v>
      </c>
      <c r="I6" s="99">
        <v>4000</v>
      </c>
      <c r="J6" s="103">
        <f t="shared" si="17"/>
        <v>8049.4007117450983</v>
      </c>
      <c r="K6" s="99">
        <f t="shared" si="10"/>
        <v>4236.9033947869957</v>
      </c>
      <c r="L6" s="104">
        <f t="shared" si="11"/>
        <v>12286.304106532094</v>
      </c>
      <c r="M6" s="13">
        <f t="shared" si="12"/>
        <v>0.15843989330446034</v>
      </c>
      <c r="N6" s="13">
        <f t="shared" si="2"/>
        <v>0.20538826483670772</v>
      </c>
      <c r="O6" s="105">
        <f t="shared" si="13"/>
        <v>-4.6948371532247374E-2</v>
      </c>
      <c r="P6" s="13">
        <f t="shared" si="14"/>
        <v>0.22480765203688538</v>
      </c>
      <c r="Q6" s="13">
        <f t="shared" si="15"/>
        <v>0.71121490279639898</v>
      </c>
      <c r="R6" s="106">
        <v>16</v>
      </c>
      <c r="S6" s="106">
        <v>6327</v>
      </c>
      <c r="T6" s="107">
        <f>VLOOKUP(S6,'Mission Params'!$A$30:$F$41,3)</f>
        <v>0.29499999999999998</v>
      </c>
      <c r="U6" s="85">
        <f>VLOOKUP(S6,'Mission Params'!$A$30:$F$41,4)</f>
        <v>2583</v>
      </c>
      <c r="V6" s="85">
        <f>VLOOKUP(S6,'Mission Params'!$A$30:$F$41,5)</f>
        <v>0.60599999999999998</v>
      </c>
      <c r="W6" s="85">
        <f>VLOOKUP(S6,'Mission Params'!$A$30:$F$41,6)</f>
        <v>0.21080378404232469</v>
      </c>
      <c r="X6" s="106">
        <f t="shared" si="16"/>
        <v>20098.801423490197</v>
      </c>
    </row>
    <row r="7" spans="1:24" s="68" customFormat="1" ht="15.75" thickBot="1" x14ac:dyDescent="0.3">
      <c r="A7" s="68" t="s">
        <v>42</v>
      </c>
      <c r="B7" s="69">
        <f t="shared" si="5"/>
        <v>101.232</v>
      </c>
      <c r="C7" s="69">
        <f t="shared" si="6"/>
        <v>25.308</v>
      </c>
      <c r="D7" s="69">
        <f t="shared" si="7"/>
        <v>4.72</v>
      </c>
      <c r="E7" s="70">
        <f t="shared" si="8"/>
        <v>0.60599999999999998</v>
      </c>
      <c r="F7" s="71">
        <f t="shared" si="9"/>
        <v>2583</v>
      </c>
      <c r="G7" s="72">
        <v>2102.7600000000002</v>
      </c>
      <c r="H7" s="69">
        <v>1946.6407117450981</v>
      </c>
      <c r="I7" s="69">
        <v>8000</v>
      </c>
      <c r="J7" s="73">
        <f t="shared" si="17"/>
        <v>12049.400711745098</v>
      </c>
      <c r="K7" s="69">
        <f t="shared" si="10"/>
        <v>6766.5488032948915</v>
      </c>
      <c r="L7" s="74">
        <f t="shared" si="11"/>
        <v>18815.949515039989</v>
      </c>
      <c r="M7" s="75">
        <f t="shared" si="12"/>
        <v>0.10345694806361522</v>
      </c>
      <c r="N7" s="75">
        <f t="shared" si="2"/>
        <v>0.18293730329099619</v>
      </c>
      <c r="O7" s="76">
        <f t="shared" si="13"/>
        <v>-7.9480355227380978E-2</v>
      </c>
      <c r="P7" s="75">
        <f t="shared" si="14"/>
        <v>0.18763637279825005</v>
      </c>
      <c r="Q7" s="75">
        <f t="shared" si="15"/>
        <v>0.75896466305077959</v>
      </c>
      <c r="R7" s="77">
        <v>16</v>
      </c>
      <c r="S7" s="77">
        <v>6327</v>
      </c>
      <c r="T7" s="78">
        <f>VLOOKUP(S7,'Mission Params'!$A$30:$F$41,3)</f>
        <v>0.29499999999999998</v>
      </c>
      <c r="U7" s="68">
        <f>VLOOKUP(S7,'Mission Params'!$A$30:$F$41,4)</f>
        <v>2583</v>
      </c>
      <c r="V7" s="68">
        <f>VLOOKUP(S7,'Mission Params'!$A$30:$F$41,5)</f>
        <v>0.60599999999999998</v>
      </c>
      <c r="W7" s="68">
        <f>VLOOKUP(S7,'Mission Params'!$A$30:$F$41,6)</f>
        <v>0.21080378404232469</v>
      </c>
      <c r="X7" s="77">
        <f t="shared" si="16"/>
        <v>32098.801423490197</v>
      </c>
    </row>
    <row r="8" spans="1:24" s="87" customFormat="1" x14ac:dyDescent="0.25">
      <c r="A8" s="87" t="s">
        <v>46</v>
      </c>
      <c r="B8" s="99">
        <f t="shared" si="5"/>
        <v>128.928</v>
      </c>
      <c r="C8" s="99">
        <f t="shared" si="6"/>
        <v>32.231999999999999</v>
      </c>
      <c r="D8" s="88">
        <f t="shared" si="7"/>
        <v>6.032</v>
      </c>
      <c r="E8" s="89">
        <f t="shared" si="8"/>
        <v>0.60599999999999998</v>
      </c>
      <c r="F8" s="90">
        <f t="shared" si="9"/>
        <v>2637</v>
      </c>
      <c r="G8" s="91">
        <v>2120.3850000000002</v>
      </c>
      <c r="H8" s="88">
        <v>2379.6579475098038</v>
      </c>
      <c r="I8" s="88">
        <v>2000</v>
      </c>
      <c r="J8" s="93">
        <f t="shared" ref="J8" si="23">SUM(G8:I8)</f>
        <v>6500.0429475098044</v>
      </c>
      <c r="K8" s="88">
        <f t="shared" si="10"/>
        <v>3091.0712552088294</v>
      </c>
      <c r="L8" s="94">
        <f t="shared" ref="L8" si="24">SUM(J8,K8)</f>
        <v>9591.1142027186343</v>
      </c>
      <c r="M8" s="95">
        <f t="shared" ref="M8" si="25">H8/L8</f>
        <v>0.24811068841566725</v>
      </c>
      <c r="N8" s="95">
        <f t="shared" si="2"/>
        <v>0.22550586618395396</v>
      </c>
      <c r="O8" s="96">
        <f t="shared" si="13"/>
        <v>2.2604822231713284E-2</v>
      </c>
      <c r="P8" s="95">
        <f t="shared" ref="P8" si="26">SQRT(E8*H8*(1/J8 - 1/L8))</f>
        <v>0.26739633113076455</v>
      </c>
      <c r="Q8" s="95">
        <f t="shared" ref="Q8" si="27">1-(P8/SQRT(E8))</f>
        <v>0.65650601846589174</v>
      </c>
      <c r="R8" s="97">
        <v>16</v>
      </c>
      <c r="S8" s="97">
        <v>8058</v>
      </c>
      <c r="T8" s="98">
        <f>VLOOKUP(S8,'Mission Params'!$A$30:$F$41,3)</f>
        <v>0.377</v>
      </c>
      <c r="U8" s="87">
        <f>VLOOKUP(S8,'Mission Params'!$A$30:$F$41,4)</f>
        <v>2637</v>
      </c>
      <c r="V8" s="87">
        <f>VLOOKUP(S8,'Mission Params'!$A$30:$F$41,5)</f>
        <v>0.60599999999999998</v>
      </c>
      <c r="W8" s="87">
        <f>VLOOKUP(S8,'Mission Params'!$A$30:$F$41,6)</f>
        <v>0.2060702369867855</v>
      </c>
      <c r="X8" s="97">
        <f t="shared" si="16"/>
        <v>15000.085895019609</v>
      </c>
    </row>
    <row r="9" spans="1:24" s="15" customFormat="1" x14ac:dyDescent="0.25">
      <c r="A9" s="85" t="s">
        <v>46</v>
      </c>
      <c r="B9" s="99">
        <f t="shared" si="5"/>
        <v>128.928</v>
      </c>
      <c r="C9" s="99">
        <f t="shared" si="6"/>
        <v>32.231999999999999</v>
      </c>
      <c r="D9" s="99">
        <f t="shared" si="7"/>
        <v>6.032</v>
      </c>
      <c r="E9" s="100">
        <f t="shared" si="8"/>
        <v>0.60599999999999998</v>
      </c>
      <c r="F9" s="29">
        <f t="shared" si="9"/>
        <v>2637</v>
      </c>
      <c r="G9" s="101">
        <v>2120.3850000000002</v>
      </c>
      <c r="H9" s="99">
        <v>2379.6579475098038</v>
      </c>
      <c r="I9" s="99">
        <v>4000</v>
      </c>
      <c r="J9" s="103">
        <f t="shared" si="17"/>
        <v>8500.0429475098044</v>
      </c>
      <c r="K9" s="99">
        <f t="shared" si="10"/>
        <v>4327.4926771295422</v>
      </c>
      <c r="L9" s="104">
        <f t="shared" si="11"/>
        <v>12827.535624639346</v>
      </c>
      <c r="M9" s="13">
        <f t="shared" si="12"/>
        <v>0.18551170054354921</v>
      </c>
      <c r="N9" s="13">
        <f t="shared" si="2"/>
        <v>0.2128750828439738</v>
      </c>
      <c r="O9" s="105">
        <f t="shared" si="13"/>
        <v>-2.7363382300424594E-2</v>
      </c>
      <c r="P9" s="13">
        <f t="shared" si="14"/>
        <v>0.23923767666136894</v>
      </c>
      <c r="Q9" s="13">
        <f t="shared" si="15"/>
        <v>0.69267827370003654</v>
      </c>
      <c r="R9" s="106">
        <v>16</v>
      </c>
      <c r="S9" s="106">
        <v>8058</v>
      </c>
      <c r="T9" s="107">
        <f>VLOOKUP(S9,'Mission Params'!$A$30:$F$41,3)</f>
        <v>0.377</v>
      </c>
      <c r="U9" s="85">
        <f>VLOOKUP(S9,'Mission Params'!$A$30:$F$41,4)</f>
        <v>2637</v>
      </c>
      <c r="V9" s="85">
        <f>VLOOKUP(S9,'Mission Params'!$A$30:$F$41,5)</f>
        <v>0.60599999999999998</v>
      </c>
      <c r="W9" s="85">
        <f>VLOOKUP(S9,'Mission Params'!$A$30:$F$41,6)</f>
        <v>0.2060702369867855</v>
      </c>
      <c r="X9" s="106">
        <f t="shared" si="16"/>
        <v>21000.085895019609</v>
      </c>
    </row>
    <row r="10" spans="1:24" s="79" customFormat="1" ht="15.75" thickBot="1" x14ac:dyDescent="0.3">
      <c r="A10" s="68" t="s">
        <v>46</v>
      </c>
      <c r="B10" s="69">
        <f t="shared" si="5"/>
        <v>128.928</v>
      </c>
      <c r="C10" s="69">
        <f t="shared" si="6"/>
        <v>32.231999999999999</v>
      </c>
      <c r="D10" s="69">
        <f t="shared" si="7"/>
        <v>6.032</v>
      </c>
      <c r="E10" s="70">
        <f t="shared" si="8"/>
        <v>0.60599999999999998</v>
      </c>
      <c r="F10" s="71">
        <f t="shared" si="9"/>
        <v>2637</v>
      </c>
      <c r="G10" s="72">
        <v>2120.3850000000002</v>
      </c>
      <c r="H10" s="69">
        <v>2379.6579475098038</v>
      </c>
      <c r="I10" s="69">
        <v>8000</v>
      </c>
      <c r="J10" s="73">
        <f t="shared" si="17"/>
        <v>12500.042947509804</v>
      </c>
      <c r="K10" s="69">
        <f t="shared" si="10"/>
        <v>6800.3355209709689</v>
      </c>
      <c r="L10" s="74">
        <f t="shared" si="11"/>
        <v>19300.378468480772</v>
      </c>
      <c r="M10" s="75">
        <f t="shared" si="12"/>
        <v>0.12329592144506368</v>
      </c>
      <c r="N10" s="75">
        <f t="shared" si="2"/>
        <v>0.19191440340126933</v>
      </c>
      <c r="O10" s="76">
        <f t="shared" si="13"/>
        <v>-6.8618481956205651E-2</v>
      </c>
      <c r="P10" s="75">
        <f t="shared" si="14"/>
        <v>0.20161372107811268</v>
      </c>
      <c r="Q10" s="75">
        <f t="shared" si="15"/>
        <v>0.74100953632321409</v>
      </c>
      <c r="R10" s="77">
        <v>16</v>
      </c>
      <c r="S10" s="77">
        <v>8058</v>
      </c>
      <c r="T10" s="78">
        <f>VLOOKUP(S10,'Mission Params'!$A$30:$F$41,3)</f>
        <v>0.377</v>
      </c>
      <c r="U10" s="68">
        <f>VLOOKUP(S10,'Mission Params'!$A$30:$F$41,4)</f>
        <v>2637</v>
      </c>
      <c r="V10" s="68">
        <f>VLOOKUP(S10,'Mission Params'!$A$30:$F$41,5)</f>
        <v>0.60599999999999998</v>
      </c>
      <c r="W10" s="68">
        <f>VLOOKUP(S10,'Mission Params'!$A$30:$F$41,6)</f>
        <v>0.2060702369867855</v>
      </c>
      <c r="X10" s="77">
        <f t="shared" si="16"/>
        <v>33000.085895019613</v>
      </c>
    </row>
    <row r="11" spans="1:24" s="108" customFormat="1" x14ac:dyDescent="0.25">
      <c r="A11" s="108" t="s">
        <v>39</v>
      </c>
      <c r="B11" s="99">
        <f t="shared" si="5"/>
        <v>145.40800000000002</v>
      </c>
      <c r="C11" s="99">
        <f t="shared" si="6"/>
        <v>18.176000000000002</v>
      </c>
      <c r="D11" s="88">
        <f t="shared" si="7"/>
        <v>6.3360000000000003</v>
      </c>
      <c r="E11" s="89">
        <f t="shared" si="8"/>
        <v>0.58399999999999996</v>
      </c>
      <c r="F11" s="90">
        <f t="shared" si="9"/>
        <v>2696</v>
      </c>
      <c r="G11" s="109">
        <v>3090.41</v>
      </c>
      <c r="H11" s="109">
        <v>2935.0388618179277</v>
      </c>
      <c r="I11" s="88">
        <v>4000</v>
      </c>
      <c r="J11" s="93">
        <f>SUM(G11:I11)</f>
        <v>10025.448861817928</v>
      </c>
      <c r="K11" s="88">
        <f t="shared" si="10"/>
        <v>4837.4771746236011</v>
      </c>
      <c r="L11" s="94">
        <f t="shared" ref="L11:L19" si="28">SUM(J11,K11)</f>
        <v>14862.926036441528</v>
      </c>
      <c r="M11" s="110">
        <f>H11/L11</f>
        <v>0.19747382545144071</v>
      </c>
      <c r="N11" s="110">
        <f t="shared" ref="N11:N19" si="29">Q11*(1-Q11)</f>
        <v>0.2133976990900508</v>
      </c>
      <c r="O11" s="96">
        <f t="shared" si="13"/>
        <v>-1.5923873638610087E-2</v>
      </c>
      <c r="P11" s="95">
        <f t="shared" ref="P11:P19" si="30">SQRT(E11*H11*(1/J11 - 1/L11))</f>
        <v>0.2358950048330902</v>
      </c>
      <c r="Q11" s="95">
        <f t="shared" ref="Q11:Q19" si="31">1-(P11/SQRT(E11))</f>
        <v>0.69131727812706623</v>
      </c>
      <c r="R11" s="111">
        <v>32</v>
      </c>
      <c r="S11" s="97">
        <v>4544</v>
      </c>
      <c r="T11" s="98">
        <f>VLOOKUP(S11,'Mission Params'!$A$30:$F$41,3)</f>
        <v>0.19800000000000001</v>
      </c>
      <c r="U11" s="87">
        <f>VLOOKUP(S11,'Mission Params'!$A$30:$F$41,4)</f>
        <v>2696</v>
      </c>
      <c r="V11" s="87">
        <f>VLOOKUP(S11,'Mission Params'!$A$30:$F$41,5)</f>
        <v>0.58399999999999996</v>
      </c>
      <c r="W11" s="87">
        <f>VLOOKUP(S11,'Mission Params'!$A$30:$F$41,6)</f>
        <v>0.20113499421976266</v>
      </c>
      <c r="X11" s="97">
        <f t="shared" si="16"/>
        <v>24050.897723635855</v>
      </c>
    </row>
    <row r="12" spans="1:24" s="15" customFormat="1" x14ac:dyDescent="0.25">
      <c r="A12" s="15" t="s">
        <v>39</v>
      </c>
      <c r="B12" s="99">
        <f t="shared" si="5"/>
        <v>145.40800000000002</v>
      </c>
      <c r="C12" s="99">
        <f t="shared" si="6"/>
        <v>18.176000000000002</v>
      </c>
      <c r="D12" s="99">
        <f t="shared" si="7"/>
        <v>6.3360000000000003</v>
      </c>
      <c r="E12" s="100">
        <f t="shared" si="8"/>
        <v>0.58399999999999996</v>
      </c>
      <c r="F12" s="29">
        <f t="shared" si="9"/>
        <v>2696</v>
      </c>
      <c r="G12" s="112">
        <v>3090.41</v>
      </c>
      <c r="H12" s="112">
        <v>2935.0388618179277</v>
      </c>
      <c r="I12" s="99">
        <v>8000</v>
      </c>
      <c r="J12" s="103">
        <f t="shared" ref="J12:J13" si="32">SUM(G12:I12)</f>
        <v>14025.448861817928</v>
      </c>
      <c r="K12" s="99">
        <f t="shared" si="10"/>
        <v>7251.0971052607529</v>
      </c>
      <c r="L12" s="104">
        <f t="shared" si="28"/>
        <v>21276.54596707868</v>
      </c>
      <c r="M12" s="39">
        <f t="shared" ref="M12:M13" si="33">H12/L12</f>
        <v>0.13794714923932341</v>
      </c>
      <c r="N12" s="39">
        <f t="shared" si="29"/>
        <v>0.19573637700896659</v>
      </c>
      <c r="O12" s="105">
        <f t="shared" si="13"/>
        <v>-5.7789227769643181E-2</v>
      </c>
      <c r="P12" s="13">
        <f t="shared" si="30"/>
        <v>0.20408273442652472</v>
      </c>
      <c r="Q12" s="13">
        <f t="shared" si="31"/>
        <v>0.73294553653382888</v>
      </c>
      <c r="R12" s="113">
        <v>32</v>
      </c>
      <c r="S12" s="106">
        <v>4544</v>
      </c>
      <c r="T12" s="107">
        <f>VLOOKUP(S12,'Mission Params'!$A$30:$F$41,3)</f>
        <v>0.19800000000000001</v>
      </c>
      <c r="U12" s="85">
        <f>VLOOKUP(S12,'Mission Params'!$A$30:$F$41,4)</f>
        <v>2696</v>
      </c>
      <c r="V12" s="85">
        <f>VLOOKUP(S12,'Mission Params'!$A$30:$F$41,5)</f>
        <v>0.58399999999999996</v>
      </c>
      <c r="W12" s="85">
        <f>VLOOKUP(S12,'Mission Params'!$A$30:$F$41,6)</f>
        <v>0.20113499421976266</v>
      </c>
      <c r="X12" s="106">
        <f t="shared" si="16"/>
        <v>36050.897723635855</v>
      </c>
    </row>
    <row r="13" spans="1:24" s="79" customFormat="1" ht="15.75" thickBot="1" x14ac:dyDescent="0.3">
      <c r="A13" s="79" t="s">
        <v>39</v>
      </c>
      <c r="B13" s="69">
        <f t="shared" si="5"/>
        <v>145.40800000000002</v>
      </c>
      <c r="C13" s="69">
        <f t="shared" si="6"/>
        <v>18.176000000000002</v>
      </c>
      <c r="D13" s="69">
        <f t="shared" si="7"/>
        <v>6.3360000000000003</v>
      </c>
      <c r="E13" s="70">
        <f t="shared" si="8"/>
        <v>0.58399999999999996</v>
      </c>
      <c r="F13" s="71">
        <f t="shared" si="9"/>
        <v>2696</v>
      </c>
      <c r="G13" s="80">
        <v>3090.41</v>
      </c>
      <c r="H13" s="80">
        <v>2935.0388618179277</v>
      </c>
      <c r="I13" s="69">
        <v>12000</v>
      </c>
      <c r="J13" s="73">
        <f t="shared" si="32"/>
        <v>18025.448861817928</v>
      </c>
      <c r="K13" s="69">
        <f t="shared" si="10"/>
        <v>9664.7170358979038</v>
      </c>
      <c r="L13" s="74">
        <f t="shared" si="28"/>
        <v>27690.165897715829</v>
      </c>
      <c r="M13" s="81">
        <f t="shared" si="33"/>
        <v>0.10599571243666836</v>
      </c>
      <c r="N13" s="81">
        <f t="shared" si="29"/>
        <v>0.18156240300443863</v>
      </c>
      <c r="O13" s="76">
        <f t="shared" si="13"/>
        <v>-7.5566690567770267E-2</v>
      </c>
      <c r="P13" s="75">
        <f t="shared" si="30"/>
        <v>0.18218058833043538</v>
      </c>
      <c r="Q13" s="75">
        <f t="shared" si="31"/>
        <v>0.76160580459072647</v>
      </c>
      <c r="R13" s="82">
        <v>32</v>
      </c>
      <c r="S13" s="77">
        <v>4544</v>
      </c>
      <c r="T13" s="78">
        <f>VLOOKUP(S13,'Mission Params'!$A$30:$F$41,3)</f>
        <v>0.19800000000000001</v>
      </c>
      <c r="U13" s="68">
        <f>VLOOKUP(S13,'Mission Params'!$A$30:$F$41,4)</f>
        <v>2696</v>
      </c>
      <c r="V13" s="68">
        <f>VLOOKUP(S13,'Mission Params'!$A$30:$F$41,5)</f>
        <v>0.58399999999999996</v>
      </c>
      <c r="W13" s="68">
        <f>VLOOKUP(S13,'Mission Params'!$A$30:$F$41,6)</f>
        <v>0.20113499421976266</v>
      </c>
      <c r="X13" s="77">
        <f t="shared" si="16"/>
        <v>48050.897723635855</v>
      </c>
    </row>
    <row r="14" spans="1:24" s="108" customFormat="1" x14ac:dyDescent="0.25">
      <c r="A14" s="108" t="s">
        <v>43</v>
      </c>
      <c r="B14" s="99">
        <f t="shared" si="5"/>
        <v>202.464</v>
      </c>
      <c r="C14" s="99">
        <f t="shared" si="6"/>
        <v>25.308</v>
      </c>
      <c r="D14" s="88">
        <f t="shared" si="7"/>
        <v>9.44</v>
      </c>
      <c r="E14" s="89">
        <f t="shared" si="8"/>
        <v>0.60599999999999998</v>
      </c>
      <c r="F14" s="90">
        <f t="shared" si="9"/>
        <v>2583</v>
      </c>
      <c r="G14" s="109">
        <v>3125.66</v>
      </c>
      <c r="H14" s="109">
        <v>3965.4729921708686</v>
      </c>
      <c r="I14" s="88">
        <v>4000</v>
      </c>
      <c r="J14" s="114">
        <f>SUM(G14:I14)</f>
        <v>11091.132992170868</v>
      </c>
      <c r="K14" s="88">
        <f t="shared" si="10"/>
        <v>5519.3207443018791</v>
      </c>
      <c r="L14" s="94">
        <f t="shared" si="28"/>
        <v>16610.453736472748</v>
      </c>
      <c r="M14" s="110">
        <f>H14/L14</f>
        <v>0.23873357435526274</v>
      </c>
      <c r="N14" s="110">
        <f t="shared" si="29"/>
        <v>0.22587459456069794</v>
      </c>
      <c r="O14" s="96">
        <f t="shared" si="13"/>
        <v>1.2858979794564795E-2</v>
      </c>
      <c r="P14" s="95">
        <f t="shared" si="30"/>
        <v>0.26831683491603281</v>
      </c>
      <c r="Q14" s="95">
        <f t="shared" si="31"/>
        <v>0.65532355081990001</v>
      </c>
      <c r="R14" s="111">
        <v>32</v>
      </c>
      <c r="S14" s="97">
        <v>6327</v>
      </c>
      <c r="T14" s="98">
        <f>VLOOKUP(S14,'Mission Params'!$A$30:$F$41,3)</f>
        <v>0.29499999999999998</v>
      </c>
      <c r="U14" s="87">
        <f>VLOOKUP(S14,'Mission Params'!$A$30:$F$41,4)</f>
        <v>2583</v>
      </c>
      <c r="V14" s="87">
        <f>VLOOKUP(S14,'Mission Params'!$A$30:$F$41,5)</f>
        <v>0.60599999999999998</v>
      </c>
      <c r="W14" s="87">
        <f>VLOOKUP(S14,'Mission Params'!$A$30:$F$41,6)</f>
        <v>0.21080378404232469</v>
      </c>
      <c r="X14" s="97">
        <f t="shared" si="16"/>
        <v>26182.265984341735</v>
      </c>
    </row>
    <row r="15" spans="1:24" s="15" customFormat="1" x14ac:dyDescent="0.25">
      <c r="A15" s="15" t="s">
        <v>43</v>
      </c>
      <c r="B15" s="99">
        <f t="shared" si="5"/>
        <v>202.464</v>
      </c>
      <c r="C15" s="99">
        <f t="shared" si="6"/>
        <v>25.308</v>
      </c>
      <c r="D15" s="99">
        <f t="shared" si="7"/>
        <v>9.44</v>
      </c>
      <c r="E15" s="100">
        <f t="shared" si="8"/>
        <v>0.60599999999999998</v>
      </c>
      <c r="F15" s="29">
        <f t="shared" si="9"/>
        <v>2583</v>
      </c>
      <c r="G15" s="112">
        <v>3125.66</v>
      </c>
      <c r="H15" s="112">
        <v>3965.4729921708686</v>
      </c>
      <c r="I15" s="99">
        <v>8000</v>
      </c>
      <c r="J15" s="115">
        <f t="shared" ref="J15:J16" si="34">SUM(G15:I15)</f>
        <v>15091.132992170868</v>
      </c>
      <c r="K15" s="99">
        <f t="shared" si="10"/>
        <v>8048.9661528097749</v>
      </c>
      <c r="L15" s="104">
        <f t="shared" si="28"/>
        <v>23140.099144980642</v>
      </c>
      <c r="M15" s="39">
        <f t="shared" ref="M15:M16" si="35">H15/L15</f>
        <v>0.17136802082505451</v>
      </c>
      <c r="N15" s="39">
        <f t="shared" si="29"/>
        <v>0.210924582350517</v>
      </c>
      <c r="O15" s="105">
        <f t="shared" si="13"/>
        <v>-3.9556561525462497E-2</v>
      </c>
      <c r="P15" s="13">
        <f t="shared" si="30"/>
        <v>0.23534790133806555</v>
      </c>
      <c r="Q15" s="13">
        <f t="shared" si="31"/>
        <v>0.69767503041477696</v>
      </c>
      <c r="R15" s="113">
        <v>32</v>
      </c>
      <c r="S15" s="106">
        <v>6327</v>
      </c>
      <c r="T15" s="107">
        <f>VLOOKUP(S15,'Mission Params'!$A$30:$F$41,3)</f>
        <v>0.29499999999999998</v>
      </c>
      <c r="U15" s="85">
        <f>VLOOKUP(S15,'Mission Params'!$A$30:$F$41,4)</f>
        <v>2583</v>
      </c>
      <c r="V15" s="85">
        <f>VLOOKUP(S15,'Mission Params'!$A$30:$F$41,5)</f>
        <v>0.60599999999999998</v>
      </c>
      <c r="W15" s="85">
        <f>VLOOKUP(S15,'Mission Params'!$A$30:$F$41,6)</f>
        <v>0.21080378404232469</v>
      </c>
      <c r="X15" s="106">
        <f t="shared" si="16"/>
        <v>38182.265984341735</v>
      </c>
    </row>
    <row r="16" spans="1:24" s="79" customFormat="1" ht="15.75" thickBot="1" x14ac:dyDescent="0.3">
      <c r="A16" s="79" t="s">
        <v>43</v>
      </c>
      <c r="B16" s="69">
        <f t="shared" si="5"/>
        <v>202.464</v>
      </c>
      <c r="C16" s="69">
        <f t="shared" si="6"/>
        <v>25.308</v>
      </c>
      <c r="D16" s="69">
        <f t="shared" si="7"/>
        <v>9.44</v>
      </c>
      <c r="E16" s="70">
        <f t="shared" si="8"/>
        <v>0.60599999999999998</v>
      </c>
      <c r="F16" s="71">
        <f t="shared" si="9"/>
        <v>2583</v>
      </c>
      <c r="G16" s="80">
        <v>3125.66</v>
      </c>
      <c r="H16" s="80">
        <v>3965.4729921708686</v>
      </c>
      <c r="I16" s="69">
        <v>12000</v>
      </c>
      <c r="J16" s="83">
        <f t="shared" si="34"/>
        <v>19091.132992170868</v>
      </c>
      <c r="K16" s="69">
        <f t="shared" si="10"/>
        <v>10578.611561317672</v>
      </c>
      <c r="L16" s="74">
        <f t="shared" si="28"/>
        <v>29669.744553488541</v>
      </c>
      <c r="M16" s="81">
        <f t="shared" si="35"/>
        <v>0.13365376250617608</v>
      </c>
      <c r="N16" s="81">
        <f t="shared" si="29"/>
        <v>0.19807887741584032</v>
      </c>
      <c r="O16" s="76">
        <f t="shared" si="13"/>
        <v>-6.4425114909664238E-2</v>
      </c>
      <c r="P16" s="75">
        <f t="shared" si="30"/>
        <v>0.21184849856774965</v>
      </c>
      <c r="Q16" s="75">
        <f t="shared" si="31"/>
        <v>0.72786206920889596</v>
      </c>
      <c r="R16" s="82">
        <v>32</v>
      </c>
      <c r="S16" s="77">
        <v>6327</v>
      </c>
      <c r="T16" s="78">
        <f>VLOOKUP(S16,'Mission Params'!$A$30:$F$41,3)</f>
        <v>0.29499999999999998</v>
      </c>
      <c r="U16" s="68">
        <f>VLOOKUP(S16,'Mission Params'!$A$30:$F$41,4)</f>
        <v>2583</v>
      </c>
      <c r="V16" s="68">
        <f>VLOOKUP(S16,'Mission Params'!$A$30:$F$41,5)</f>
        <v>0.60599999999999998</v>
      </c>
      <c r="W16" s="68">
        <f>VLOOKUP(S16,'Mission Params'!$A$30:$F$41,6)</f>
        <v>0.21080378404232469</v>
      </c>
      <c r="X16" s="77">
        <f t="shared" si="16"/>
        <v>50182.265984341735</v>
      </c>
    </row>
    <row r="17" spans="1:24" s="108" customFormat="1" x14ac:dyDescent="0.25">
      <c r="A17" s="108" t="s">
        <v>47</v>
      </c>
      <c r="B17" s="99">
        <f t="shared" si="5"/>
        <v>257.85599999999999</v>
      </c>
      <c r="C17" s="99">
        <f t="shared" si="6"/>
        <v>32.231999999999999</v>
      </c>
      <c r="D17" s="88">
        <f t="shared" si="7"/>
        <v>12.064</v>
      </c>
      <c r="E17" s="89">
        <f t="shared" si="8"/>
        <v>0.60599999999999998</v>
      </c>
      <c r="F17" s="90">
        <f t="shared" si="9"/>
        <v>2637</v>
      </c>
      <c r="G17" s="109">
        <v>3179.71</v>
      </c>
      <c r="H17" s="109">
        <v>5674.4406597002799</v>
      </c>
      <c r="I17" s="88">
        <v>4000</v>
      </c>
      <c r="J17" s="114">
        <f>SUM(G17:I17)</f>
        <v>12854.150659700281</v>
      </c>
      <c r="K17" s="88">
        <f t="shared" si="10"/>
        <v>6121.9966933637061</v>
      </c>
      <c r="L17" s="94">
        <f t="shared" si="28"/>
        <v>18976.147353063985</v>
      </c>
      <c r="M17" s="110">
        <f>H17/L17</f>
        <v>0.29903017478329474</v>
      </c>
      <c r="N17" s="110">
        <f t="shared" si="29"/>
        <v>0.23496507710519918</v>
      </c>
      <c r="O17" s="96">
        <f t="shared" si="13"/>
        <v>6.4065097678095567E-2</v>
      </c>
      <c r="P17" s="95">
        <f t="shared" si="30"/>
        <v>0.29377759545674975</v>
      </c>
      <c r="Q17" s="95">
        <f t="shared" si="31"/>
        <v>0.62261697637277158</v>
      </c>
      <c r="R17" s="111">
        <v>32</v>
      </c>
      <c r="S17" s="97">
        <v>8058</v>
      </c>
      <c r="T17" s="98">
        <f>VLOOKUP(S17,'Mission Params'!$A$30:$F$41,3)</f>
        <v>0.377</v>
      </c>
      <c r="U17" s="87">
        <f>VLOOKUP(S17,'Mission Params'!$A$30:$F$41,4)</f>
        <v>2637</v>
      </c>
      <c r="V17" s="87">
        <f>VLOOKUP(S17,'Mission Params'!$A$30:$F$41,5)</f>
        <v>0.60599999999999998</v>
      </c>
      <c r="W17" s="87">
        <f>VLOOKUP(S17,'Mission Params'!$A$30:$F$41,6)</f>
        <v>0.2060702369867855</v>
      </c>
      <c r="X17" s="97">
        <f t="shared" si="16"/>
        <v>29708.301319400562</v>
      </c>
    </row>
    <row r="18" spans="1:24" s="85" customFormat="1" x14ac:dyDescent="0.25">
      <c r="A18" s="15" t="s">
        <v>47</v>
      </c>
      <c r="B18" s="99">
        <f t="shared" si="5"/>
        <v>257.85599999999999</v>
      </c>
      <c r="C18" s="99">
        <f t="shared" si="6"/>
        <v>32.231999999999999</v>
      </c>
      <c r="D18" s="99">
        <f t="shared" si="7"/>
        <v>12.064</v>
      </c>
      <c r="E18" s="100">
        <f t="shared" si="8"/>
        <v>0.60599999999999998</v>
      </c>
      <c r="F18" s="29">
        <f t="shared" si="9"/>
        <v>2637</v>
      </c>
      <c r="G18" s="112">
        <v>3179.71</v>
      </c>
      <c r="H18" s="112">
        <v>5674.4406597002799</v>
      </c>
      <c r="I18" s="99">
        <v>8000</v>
      </c>
      <c r="J18" s="116">
        <f t="shared" ref="J18:J19" si="36">SUM(G18:I18)</f>
        <v>16854.150659700281</v>
      </c>
      <c r="K18" s="99">
        <f t="shared" si="10"/>
        <v>8594.8395372051327</v>
      </c>
      <c r="L18" s="104">
        <f t="shared" si="28"/>
        <v>25448.990196905412</v>
      </c>
      <c r="M18" s="39">
        <f t="shared" ref="M18:M19" si="37">H18/L18</f>
        <v>0.22297311664610919</v>
      </c>
      <c r="N18" s="39">
        <f t="shared" si="29"/>
        <v>0.22349720580430124</v>
      </c>
      <c r="O18" s="105">
        <f t="shared" si="13"/>
        <v>-5.2408915819204815E-4</v>
      </c>
      <c r="P18" s="13">
        <f t="shared" si="30"/>
        <v>0.26249921853441005</v>
      </c>
      <c r="Q18" s="13">
        <f t="shared" si="31"/>
        <v>0.66279678803864273</v>
      </c>
      <c r="R18" s="113">
        <v>32</v>
      </c>
      <c r="S18" s="106">
        <v>8058</v>
      </c>
      <c r="T18" s="107">
        <f>VLOOKUP(S18,'Mission Params'!$A$30:$F$41,3)</f>
        <v>0.377</v>
      </c>
      <c r="U18" s="85">
        <f>VLOOKUP(S18,'Mission Params'!$A$30:$F$41,4)</f>
        <v>2637</v>
      </c>
      <c r="V18" s="85">
        <f>VLOOKUP(S18,'Mission Params'!$A$30:$F$41,5)</f>
        <v>0.60599999999999998</v>
      </c>
      <c r="W18" s="85">
        <f>VLOOKUP(S18,'Mission Params'!$A$30:$F$41,6)</f>
        <v>0.2060702369867855</v>
      </c>
      <c r="X18" s="106">
        <f t="shared" si="16"/>
        <v>41708.301319400562</v>
      </c>
    </row>
    <row r="19" spans="1:24" s="68" customFormat="1" ht="15.75" thickBot="1" x14ac:dyDescent="0.3">
      <c r="A19" s="79" t="s">
        <v>47</v>
      </c>
      <c r="B19" s="69">
        <f t="shared" si="5"/>
        <v>257.85599999999999</v>
      </c>
      <c r="C19" s="69">
        <f t="shared" si="6"/>
        <v>32.231999999999999</v>
      </c>
      <c r="D19" s="69">
        <f t="shared" si="7"/>
        <v>12.064</v>
      </c>
      <c r="E19" s="70">
        <f t="shared" si="8"/>
        <v>0.60599999999999998</v>
      </c>
      <c r="F19" s="71">
        <f t="shared" si="9"/>
        <v>2637</v>
      </c>
      <c r="G19" s="80">
        <v>3179.71</v>
      </c>
      <c r="H19" s="80">
        <v>5674.4406597002799</v>
      </c>
      <c r="I19" s="69">
        <v>12000</v>
      </c>
      <c r="J19" s="84">
        <f t="shared" si="36"/>
        <v>20854.150659700281</v>
      </c>
      <c r="K19" s="69">
        <f t="shared" si="10"/>
        <v>11067.682381046558</v>
      </c>
      <c r="L19" s="74">
        <f t="shared" si="28"/>
        <v>31921.833040746838</v>
      </c>
      <c r="M19" s="81">
        <f t="shared" si="37"/>
        <v>0.17776048926943205</v>
      </c>
      <c r="N19" s="81">
        <f t="shared" si="29"/>
        <v>0.21280865630209356</v>
      </c>
      <c r="O19" s="76">
        <f t="shared" si="13"/>
        <v>-3.5048167032661504E-2</v>
      </c>
      <c r="P19" s="75">
        <f t="shared" si="30"/>
        <v>0.23910354815871648</v>
      </c>
      <c r="Q19" s="75">
        <f t="shared" si="31"/>
        <v>0.69285057349644164</v>
      </c>
      <c r="R19" s="82">
        <v>32</v>
      </c>
      <c r="S19" s="77">
        <v>8058</v>
      </c>
      <c r="T19" s="78">
        <f>VLOOKUP(S19,'Mission Params'!$A$30:$F$41,3)</f>
        <v>0.377</v>
      </c>
      <c r="U19" s="68">
        <f>VLOOKUP(S19,'Mission Params'!$A$30:$F$41,4)</f>
        <v>2637</v>
      </c>
      <c r="V19" s="68">
        <f>VLOOKUP(S19,'Mission Params'!$A$30:$F$41,5)</f>
        <v>0.60599999999999998</v>
      </c>
      <c r="W19" s="68">
        <f>VLOOKUP(S19,'Mission Params'!$A$30:$F$41,6)</f>
        <v>0.2060702369867855</v>
      </c>
      <c r="X19" s="77">
        <f t="shared" si="16"/>
        <v>53708.301319400562</v>
      </c>
    </row>
    <row r="20" spans="1:24" s="108" customFormat="1" x14ac:dyDescent="0.25">
      <c r="A20" s="108" t="s">
        <v>40</v>
      </c>
      <c r="B20" s="99">
        <f t="shared" si="5"/>
        <v>218.11199999999999</v>
      </c>
      <c r="C20" s="99">
        <f t="shared" si="6"/>
        <v>18.176000000000002</v>
      </c>
      <c r="D20" s="88">
        <f t="shared" si="7"/>
        <v>9.5040000000000013</v>
      </c>
      <c r="E20" s="89">
        <f t="shared" si="8"/>
        <v>0.58399999999999996</v>
      </c>
      <c r="F20" s="90">
        <f t="shared" si="9"/>
        <v>2696</v>
      </c>
      <c r="G20" s="109">
        <v>4095.6849999999999</v>
      </c>
      <c r="H20" s="109">
        <v>4614.0563370672262</v>
      </c>
      <c r="I20" s="88">
        <v>8000</v>
      </c>
      <c r="J20" s="93">
        <f>SUM(G20:I20)</f>
        <v>16709.741337067226</v>
      </c>
      <c r="K20" s="88">
        <f t="shared" si="10"/>
        <v>8330.9074082475927</v>
      </c>
      <c r="L20" s="94">
        <f t="shared" ref="L20:L31" si="38">SUM(J20,K20)</f>
        <v>25040.648745314818</v>
      </c>
      <c r="M20" s="110">
        <f>H20/L20</f>
        <v>0.18426265165875666</v>
      </c>
      <c r="N20" s="110">
        <f t="shared" ref="N20:N31" si="39">Q20*(1-Q20)</f>
        <v>0.21122874431526242</v>
      </c>
      <c r="O20" s="96">
        <f t="shared" si="13"/>
        <v>-2.6966092656505763E-2</v>
      </c>
      <c r="P20" s="95">
        <f t="shared" ref="P20:P31" si="40">SQRT(E20*H20*(1/J20 - 1/L20))</f>
        <v>0.23162550122533071</v>
      </c>
      <c r="Q20" s="95">
        <f t="shared" ref="Q20:Q31" si="41">1-(P20/SQRT(E20))</f>
        <v>0.69690417894178269</v>
      </c>
      <c r="R20" s="97">
        <v>48</v>
      </c>
      <c r="S20" s="97">
        <v>4544</v>
      </c>
      <c r="T20" s="98">
        <f>VLOOKUP(S20,'Mission Params'!$A$30:$F$41,3)</f>
        <v>0.19800000000000001</v>
      </c>
      <c r="U20" s="87">
        <f>VLOOKUP(S20,'Mission Params'!$A$30:$F$41,4)</f>
        <v>2696</v>
      </c>
      <c r="V20" s="87">
        <f>VLOOKUP(S20,'Mission Params'!$A$30:$F$41,5)</f>
        <v>0.58399999999999996</v>
      </c>
      <c r="W20" s="87">
        <f>VLOOKUP(S20,'Mission Params'!$A$30:$F$41,6)</f>
        <v>0.20113499421976266</v>
      </c>
      <c r="X20" s="97">
        <f t="shared" si="16"/>
        <v>41419.482674134451</v>
      </c>
    </row>
    <row r="21" spans="1:24" s="15" customFormat="1" x14ac:dyDescent="0.25">
      <c r="A21" s="15" t="s">
        <v>40</v>
      </c>
      <c r="B21" s="99">
        <f t="shared" si="5"/>
        <v>218.11199999999999</v>
      </c>
      <c r="C21" s="99">
        <f t="shared" si="6"/>
        <v>18.176000000000002</v>
      </c>
      <c r="D21" s="99">
        <f t="shared" si="7"/>
        <v>9.5040000000000013</v>
      </c>
      <c r="E21" s="100">
        <f t="shared" si="8"/>
        <v>0.58399999999999996</v>
      </c>
      <c r="F21" s="29">
        <f t="shared" si="9"/>
        <v>2696</v>
      </c>
      <c r="G21" s="112">
        <v>4095.6849999999999</v>
      </c>
      <c r="H21" s="112">
        <v>4614.0563370672262</v>
      </c>
      <c r="I21" s="99">
        <v>12000</v>
      </c>
      <c r="J21" s="103">
        <f>SUM(G21:I21)</f>
        <v>20709.741337067226</v>
      </c>
      <c r="K21" s="99">
        <f t="shared" si="10"/>
        <v>10744.527338884745</v>
      </c>
      <c r="L21" s="104">
        <f t="shared" si="38"/>
        <v>31454.268675951971</v>
      </c>
      <c r="M21" s="39">
        <f>H21/L21</f>
        <v>0.14669094311497549</v>
      </c>
      <c r="N21" s="39">
        <f t="shared" si="39"/>
        <v>0.19976673850386154</v>
      </c>
      <c r="O21" s="105">
        <f t="shared" si="13"/>
        <v>-5.3075795388886043E-2</v>
      </c>
      <c r="P21" s="13">
        <f t="shared" si="40"/>
        <v>0.21082125497107712</v>
      </c>
      <c r="Q21" s="13">
        <f t="shared" si="41"/>
        <v>0.7241277793941181</v>
      </c>
      <c r="R21" s="106">
        <v>48</v>
      </c>
      <c r="S21" s="106">
        <v>4544</v>
      </c>
      <c r="T21" s="107">
        <f>VLOOKUP(S21,'Mission Params'!$A$30:$F$41,3)</f>
        <v>0.19800000000000001</v>
      </c>
      <c r="U21" s="85">
        <f>VLOOKUP(S21,'Mission Params'!$A$30:$F$41,4)</f>
        <v>2696</v>
      </c>
      <c r="V21" s="85">
        <f>VLOOKUP(S21,'Mission Params'!$A$30:$F$41,5)</f>
        <v>0.58399999999999996</v>
      </c>
      <c r="W21" s="85">
        <f>VLOOKUP(S21,'Mission Params'!$A$30:$F$41,6)</f>
        <v>0.20113499421976266</v>
      </c>
      <c r="X21" s="106">
        <f t="shared" si="16"/>
        <v>53419.482674134451</v>
      </c>
    </row>
    <row r="22" spans="1:24" s="15" customFormat="1" x14ac:dyDescent="0.25">
      <c r="A22" s="15" t="s">
        <v>40</v>
      </c>
      <c r="B22" s="99">
        <f t="shared" si="5"/>
        <v>218.11199999999999</v>
      </c>
      <c r="C22" s="99">
        <f t="shared" si="6"/>
        <v>18.176000000000002</v>
      </c>
      <c r="D22" s="99">
        <f t="shared" si="7"/>
        <v>9.5040000000000013</v>
      </c>
      <c r="E22" s="100">
        <f t="shared" si="8"/>
        <v>0.58399999999999996</v>
      </c>
      <c r="F22" s="29">
        <f t="shared" si="9"/>
        <v>2696</v>
      </c>
      <c r="G22" s="112">
        <v>4095.6849999999999</v>
      </c>
      <c r="H22" s="112">
        <v>4614.0563370672262</v>
      </c>
      <c r="I22" s="99">
        <v>16000</v>
      </c>
      <c r="J22" s="103">
        <f t="shared" ref="J22" si="42">SUM(G22:I22)</f>
        <v>24709.741337067226</v>
      </c>
      <c r="K22" s="99">
        <f t="shared" si="10"/>
        <v>13158.147269521896</v>
      </c>
      <c r="L22" s="104">
        <f t="shared" si="38"/>
        <v>37867.88860658912</v>
      </c>
      <c r="M22" s="39">
        <f t="shared" ref="M22" si="43">H22/L22</f>
        <v>0.12184614740480586</v>
      </c>
      <c r="N22" s="39">
        <f t="shared" si="39"/>
        <v>0.18983948439052897</v>
      </c>
      <c r="O22" s="105">
        <f t="shared" si="13"/>
        <v>-6.7993336985723116E-2</v>
      </c>
      <c r="P22" s="13">
        <f t="shared" si="40"/>
        <v>0.19465949679236588</v>
      </c>
      <c r="Q22" s="13">
        <f t="shared" si="41"/>
        <v>0.74527640654875682</v>
      </c>
      <c r="R22" s="106">
        <v>48</v>
      </c>
      <c r="S22" s="106">
        <v>4544</v>
      </c>
      <c r="T22" s="107">
        <f>VLOOKUP(S22,'Mission Params'!$A$30:$F$41,3)</f>
        <v>0.19800000000000001</v>
      </c>
      <c r="U22" s="85">
        <f>VLOOKUP(S22,'Mission Params'!$A$30:$F$41,4)</f>
        <v>2696</v>
      </c>
      <c r="V22" s="85">
        <f>VLOOKUP(S22,'Mission Params'!$A$30:$F$41,5)</f>
        <v>0.58399999999999996</v>
      </c>
      <c r="W22" s="85">
        <f>VLOOKUP(S22,'Mission Params'!$A$30:$F$41,6)</f>
        <v>0.20113499421976266</v>
      </c>
      <c r="X22" s="106">
        <f t="shared" si="16"/>
        <v>65419.482674134451</v>
      </c>
    </row>
    <row r="23" spans="1:24" s="79" customFormat="1" ht="15.75" thickBot="1" x14ac:dyDescent="0.3">
      <c r="A23" s="79" t="s">
        <v>40</v>
      </c>
      <c r="B23" s="69">
        <f t="shared" si="5"/>
        <v>218.11199999999999</v>
      </c>
      <c r="C23" s="69">
        <f t="shared" si="6"/>
        <v>18.176000000000002</v>
      </c>
      <c r="D23" s="69">
        <f t="shared" si="7"/>
        <v>9.5040000000000013</v>
      </c>
      <c r="E23" s="70">
        <f t="shared" ref="E23" si="44">V23</f>
        <v>0.58399999999999996</v>
      </c>
      <c r="F23" s="71">
        <f t="shared" si="9"/>
        <v>2696</v>
      </c>
      <c r="G23" s="80">
        <v>4095.6849999999999</v>
      </c>
      <c r="H23" s="80">
        <v>4614.0563370672262</v>
      </c>
      <c r="I23" s="69">
        <v>24000</v>
      </c>
      <c r="J23" s="73">
        <f t="shared" ref="J23" si="45">SUM(G23:I23)</f>
        <v>32709.741337067226</v>
      </c>
      <c r="K23" s="69">
        <f t="shared" si="10"/>
        <v>17985.387130796204</v>
      </c>
      <c r="L23" s="74">
        <f t="shared" ref="L23" si="46">SUM(J23,K23)</f>
        <v>50695.128467863426</v>
      </c>
      <c r="M23" s="81">
        <f t="shared" ref="M23" si="47">H23/L23</f>
        <v>9.1015773635767808E-2</v>
      </c>
      <c r="N23" s="81">
        <f t="shared" si="39"/>
        <v>0.17366220631525428</v>
      </c>
      <c r="O23" s="76">
        <f t="shared" si="13"/>
        <v>-8.2646432679486473E-2</v>
      </c>
      <c r="P23" s="75">
        <f t="shared" ref="P23" si="48">SQRT(E23*H23*(1/J23 - 1/L23))</f>
        <v>0.1709566883080629</v>
      </c>
      <c r="Q23" s="75">
        <f t="shared" ref="Q23" si="49">1-(P23/SQRT(E23))</f>
        <v>0.77629294903190293</v>
      </c>
      <c r="R23" s="77">
        <v>48</v>
      </c>
      <c r="S23" s="77">
        <v>4544</v>
      </c>
      <c r="T23" s="78">
        <f>VLOOKUP(S23,'Mission Params'!$A$30:$F$41,3)</f>
        <v>0.19800000000000001</v>
      </c>
      <c r="U23" s="68">
        <f>VLOOKUP(S23,'Mission Params'!$A$30:$F$41,4)</f>
        <v>2696</v>
      </c>
      <c r="V23" s="68">
        <f>VLOOKUP(S23,'Mission Params'!$A$30:$F$41,5)</f>
        <v>0.58399999999999996</v>
      </c>
      <c r="W23" s="68">
        <f>VLOOKUP(S23,'Mission Params'!$A$30:$F$41,6)</f>
        <v>0.20113499421976266</v>
      </c>
      <c r="X23" s="77">
        <f t="shared" ref="X23" si="50">(I23+2*J23)</f>
        <v>89419.482674134459</v>
      </c>
    </row>
    <row r="24" spans="1:24" s="108" customFormat="1" x14ac:dyDescent="0.25">
      <c r="A24" s="108" t="s">
        <v>44</v>
      </c>
      <c r="B24" s="99">
        <f t="shared" si="5"/>
        <v>303.69600000000003</v>
      </c>
      <c r="C24" s="99">
        <f t="shared" si="6"/>
        <v>25.308</v>
      </c>
      <c r="D24" s="88">
        <f t="shared" si="7"/>
        <v>14.16</v>
      </c>
      <c r="E24" s="89">
        <f t="shared" si="8"/>
        <v>0.60599999999999998</v>
      </c>
      <c r="F24" s="90">
        <f t="shared" si="9"/>
        <v>2583</v>
      </c>
      <c r="G24" s="109">
        <v>4167.3599999999997</v>
      </c>
      <c r="H24" s="109">
        <v>7116.3864365966383</v>
      </c>
      <c r="I24" s="88">
        <v>8000</v>
      </c>
      <c r="J24" s="114">
        <f>SUM(G24:I24)</f>
        <v>19283.746436596637</v>
      </c>
      <c r="K24" s="88">
        <f t="shared" si="10"/>
        <v>9816.603711033129</v>
      </c>
      <c r="L24" s="94">
        <f t="shared" si="38"/>
        <v>29100.350147629768</v>
      </c>
      <c r="M24" s="110">
        <f>H24/L24</f>
        <v>0.2445464195617684</v>
      </c>
      <c r="N24" s="110">
        <f t="shared" si="39"/>
        <v>0.22834100857768366</v>
      </c>
      <c r="O24" s="96">
        <f t="shared" si="13"/>
        <v>1.6205410984084734E-2</v>
      </c>
      <c r="P24" s="95">
        <f t="shared" si="40"/>
        <v>0.27466409446039103</v>
      </c>
      <c r="Q24" s="95">
        <f t="shared" si="41"/>
        <v>0.64716994062075428</v>
      </c>
      <c r="R24" s="97">
        <v>48</v>
      </c>
      <c r="S24" s="97">
        <v>6327</v>
      </c>
      <c r="T24" s="98">
        <f>VLOOKUP(S24,'Mission Params'!$A$30:$F$41,3)</f>
        <v>0.29499999999999998</v>
      </c>
      <c r="U24" s="87">
        <f>VLOOKUP(S24,'Mission Params'!$A$30:$F$41,4)</f>
        <v>2583</v>
      </c>
      <c r="V24" s="87">
        <f>VLOOKUP(S24,'Mission Params'!$A$30:$F$41,5)</f>
        <v>0.60599999999999998</v>
      </c>
      <c r="W24" s="87">
        <f>VLOOKUP(S24,'Mission Params'!$A$30:$F$41,6)</f>
        <v>0.21080378404232469</v>
      </c>
      <c r="X24" s="97">
        <f t="shared" si="16"/>
        <v>46567.492873193274</v>
      </c>
    </row>
    <row r="25" spans="1:24" s="15" customFormat="1" x14ac:dyDescent="0.25">
      <c r="A25" s="15" t="s">
        <v>44</v>
      </c>
      <c r="B25" s="99">
        <f t="shared" si="5"/>
        <v>303.69600000000003</v>
      </c>
      <c r="C25" s="99">
        <f t="shared" si="6"/>
        <v>25.308</v>
      </c>
      <c r="D25" s="99">
        <f t="shared" si="7"/>
        <v>14.16</v>
      </c>
      <c r="E25" s="100">
        <f t="shared" si="8"/>
        <v>0.60599999999999998</v>
      </c>
      <c r="F25" s="29">
        <f t="shared" si="9"/>
        <v>2583</v>
      </c>
      <c r="G25" s="112">
        <v>4167.3599999999997</v>
      </c>
      <c r="H25" s="112">
        <v>7116.3864365966383</v>
      </c>
      <c r="I25" s="99">
        <v>12000</v>
      </c>
      <c r="J25" s="115">
        <f t="shared" ref="J25:J28" si="51">SUM(G25:I25)</f>
        <v>23283.746436596637</v>
      </c>
      <c r="K25" s="99">
        <f t="shared" si="10"/>
        <v>12346.249119541026</v>
      </c>
      <c r="L25" s="104">
        <f t="shared" si="38"/>
        <v>35629.995556137663</v>
      </c>
      <c r="M25" s="39">
        <f t="shared" ref="M25:M28" si="52">H25/L25</f>
        <v>0.19973020836851499</v>
      </c>
      <c r="N25" s="39">
        <f t="shared" si="39"/>
        <v>0.21952672227248637</v>
      </c>
      <c r="O25" s="105">
        <f t="shared" si="13"/>
        <v>-1.9796513903971386E-2</v>
      </c>
      <c r="P25" s="13">
        <f t="shared" si="40"/>
        <v>0.25333738127463823</v>
      </c>
      <c r="Q25" s="13">
        <f t="shared" si="41"/>
        <v>0.67456596955739578</v>
      </c>
      <c r="R25" s="106">
        <v>48</v>
      </c>
      <c r="S25" s="106">
        <v>6327</v>
      </c>
      <c r="T25" s="107">
        <f>VLOOKUP(S25,'Mission Params'!$A$30:$F$41,3)</f>
        <v>0.29499999999999998</v>
      </c>
      <c r="U25" s="85">
        <f>VLOOKUP(S25,'Mission Params'!$A$30:$F$41,4)</f>
        <v>2583</v>
      </c>
      <c r="V25" s="85">
        <f>VLOOKUP(S25,'Mission Params'!$A$30:$F$41,5)</f>
        <v>0.60599999999999998</v>
      </c>
      <c r="W25" s="85">
        <f>VLOOKUP(S25,'Mission Params'!$A$30:$F$41,6)</f>
        <v>0.21080378404232469</v>
      </c>
      <c r="X25" s="106">
        <f t="shared" si="16"/>
        <v>58567.492873193274</v>
      </c>
    </row>
    <row r="26" spans="1:24" s="15" customFormat="1" x14ac:dyDescent="0.25">
      <c r="A26" s="15" t="s">
        <v>44</v>
      </c>
      <c r="B26" s="99">
        <f t="shared" si="5"/>
        <v>303.69600000000003</v>
      </c>
      <c r="C26" s="99">
        <f t="shared" si="6"/>
        <v>25.308</v>
      </c>
      <c r="D26" s="99">
        <f t="shared" si="7"/>
        <v>14.16</v>
      </c>
      <c r="E26" s="100">
        <f t="shared" si="8"/>
        <v>0.60599999999999998</v>
      </c>
      <c r="F26" s="29">
        <f t="shared" si="9"/>
        <v>2583</v>
      </c>
      <c r="G26" s="112">
        <v>4167.3599999999997</v>
      </c>
      <c r="H26" s="112">
        <v>7116.3864365966383</v>
      </c>
      <c r="I26" s="99">
        <v>16000</v>
      </c>
      <c r="J26" s="115">
        <f t="shared" si="51"/>
        <v>27283.746436596637</v>
      </c>
      <c r="K26" s="99">
        <f t="shared" si="10"/>
        <v>14875.894528048922</v>
      </c>
      <c r="L26" s="104">
        <f t="shared" si="38"/>
        <v>42159.640964645558</v>
      </c>
      <c r="M26" s="39">
        <f t="shared" si="52"/>
        <v>0.16879618217252687</v>
      </c>
      <c r="N26" s="39">
        <f t="shared" si="39"/>
        <v>0.21133615442170336</v>
      </c>
      <c r="O26" s="105">
        <f t="shared" si="13"/>
        <v>-4.2539972249176494E-2</v>
      </c>
      <c r="P26" s="13">
        <f t="shared" si="40"/>
        <v>0.23616044839588715</v>
      </c>
      <c r="Q26" s="13">
        <f t="shared" si="41"/>
        <v>0.69663124263020015</v>
      </c>
      <c r="R26" s="106">
        <v>48</v>
      </c>
      <c r="S26" s="106">
        <v>6327</v>
      </c>
      <c r="T26" s="107">
        <f>VLOOKUP(S26,'Mission Params'!$A$30:$F$41,3)</f>
        <v>0.29499999999999998</v>
      </c>
      <c r="U26" s="85">
        <f>VLOOKUP(S26,'Mission Params'!$A$30:$F$41,4)</f>
        <v>2583</v>
      </c>
      <c r="V26" s="85">
        <f>VLOOKUP(S26,'Mission Params'!$A$30:$F$41,5)</f>
        <v>0.60599999999999998</v>
      </c>
      <c r="W26" s="85">
        <f>VLOOKUP(S26,'Mission Params'!$A$30:$F$41,6)</f>
        <v>0.21080378404232469</v>
      </c>
      <c r="X26" s="106">
        <f t="shared" si="16"/>
        <v>70567.492873193274</v>
      </c>
    </row>
    <row r="27" spans="1:24" s="79" customFormat="1" ht="15.75" thickBot="1" x14ac:dyDescent="0.3">
      <c r="A27" s="79" t="s">
        <v>44</v>
      </c>
      <c r="B27" s="69">
        <f t="shared" si="5"/>
        <v>303.69600000000003</v>
      </c>
      <c r="C27" s="69">
        <f t="shared" si="6"/>
        <v>25.308</v>
      </c>
      <c r="D27" s="69">
        <f t="shared" si="7"/>
        <v>14.16</v>
      </c>
      <c r="E27" s="70">
        <f t="shared" si="8"/>
        <v>0.60599999999999998</v>
      </c>
      <c r="F27" s="71">
        <f t="shared" si="9"/>
        <v>2583</v>
      </c>
      <c r="G27" s="80">
        <v>4167.3599999999997</v>
      </c>
      <c r="H27" s="80">
        <v>7116.3864365966383</v>
      </c>
      <c r="I27" s="69">
        <v>24000</v>
      </c>
      <c r="J27" s="83">
        <f t="shared" ref="J27" si="53">SUM(G27:I27)</f>
        <v>35283.746436596637</v>
      </c>
      <c r="K27" s="69">
        <f t="shared" si="10"/>
        <v>19935.185345064714</v>
      </c>
      <c r="L27" s="74">
        <f t="shared" ref="L27" si="54">SUM(J27,K27)</f>
        <v>55218.931781661347</v>
      </c>
      <c r="M27" s="81">
        <f t="shared" ref="M27" si="55">H27/L27</f>
        <v>0.1288758439720496</v>
      </c>
      <c r="N27" s="81">
        <f t="shared" si="39"/>
        <v>0.19702701097773748</v>
      </c>
      <c r="O27" s="76">
        <f t="shared" si="13"/>
        <v>-6.8151167005687879E-2</v>
      </c>
      <c r="P27" s="75">
        <f t="shared" si="40"/>
        <v>0.21006072785982871</v>
      </c>
      <c r="Q27" s="75">
        <f t="shared" si="41"/>
        <v>0.73015861709321794</v>
      </c>
      <c r="R27" s="77">
        <v>48</v>
      </c>
      <c r="S27" s="77">
        <v>6327</v>
      </c>
      <c r="T27" s="78">
        <f>VLOOKUP(S27,'Mission Params'!$A$30:$F$41,3)</f>
        <v>0.29499999999999998</v>
      </c>
      <c r="U27" s="68">
        <f>VLOOKUP(S27,'Mission Params'!$A$30:$F$41,4)</f>
        <v>2583</v>
      </c>
      <c r="V27" s="68">
        <f>VLOOKUP(S27,'Mission Params'!$A$30:$F$41,5)</f>
        <v>0.60599999999999998</v>
      </c>
      <c r="W27" s="68">
        <f>VLOOKUP(S27,'Mission Params'!$A$30:$F$41,6)</f>
        <v>0.21080378404232469</v>
      </c>
      <c r="X27" s="77">
        <f t="shared" si="16"/>
        <v>94567.492873193274</v>
      </c>
    </row>
    <row r="28" spans="1:24" s="108" customFormat="1" x14ac:dyDescent="0.25">
      <c r="A28" s="108" t="s">
        <v>48</v>
      </c>
      <c r="B28" s="99">
        <f t="shared" si="5"/>
        <v>386.78399999999999</v>
      </c>
      <c r="C28" s="99">
        <f t="shared" si="6"/>
        <v>32.231999999999999</v>
      </c>
      <c r="D28" s="88">
        <f t="shared" si="7"/>
        <v>18.096</v>
      </c>
      <c r="E28" s="89">
        <f t="shared" si="8"/>
        <v>0.60599999999999998</v>
      </c>
      <c r="F28" s="90">
        <f t="shared" si="9"/>
        <v>2637</v>
      </c>
      <c r="G28" s="109">
        <v>4237.8599999999997</v>
      </c>
      <c r="H28" s="109">
        <v>10109.869583890755</v>
      </c>
      <c r="I28" s="88">
        <v>8000</v>
      </c>
      <c r="J28" s="114">
        <f t="shared" si="51"/>
        <v>22347.729583890756</v>
      </c>
      <c r="K28" s="88">
        <f t="shared" si="10"/>
        <v>10858.965758832215</v>
      </c>
      <c r="L28" s="94">
        <f t="shared" si="38"/>
        <v>33206.695342722975</v>
      </c>
      <c r="M28" s="110">
        <f t="shared" si="52"/>
        <v>0.30445274603653882</v>
      </c>
      <c r="N28" s="110">
        <f t="shared" si="39"/>
        <v>0.23668860254402327</v>
      </c>
      <c r="O28" s="96">
        <f t="shared" si="13"/>
        <v>6.7764143492515555E-2</v>
      </c>
      <c r="P28" s="95">
        <f t="shared" si="40"/>
        <v>0.29941516147096547</v>
      </c>
      <c r="Q28" s="95">
        <f t="shared" si="41"/>
        <v>0.61537502960336232</v>
      </c>
      <c r="R28" s="97">
        <v>48</v>
      </c>
      <c r="S28" s="97">
        <v>8058</v>
      </c>
      <c r="T28" s="98">
        <f>VLOOKUP(S28,'Mission Params'!$A$30:$F$41,3)</f>
        <v>0.377</v>
      </c>
      <c r="U28" s="87">
        <f>VLOOKUP(S28,'Mission Params'!$A$30:$F$41,4)</f>
        <v>2637</v>
      </c>
      <c r="V28" s="87">
        <f>VLOOKUP(S28,'Mission Params'!$A$30:$F$41,5)</f>
        <v>0.60599999999999998</v>
      </c>
      <c r="W28" s="87">
        <f>VLOOKUP(S28,'Mission Params'!$A$30:$F$41,6)</f>
        <v>0.2060702369867855</v>
      </c>
      <c r="X28" s="97">
        <f t="shared" si="16"/>
        <v>52695.459167781511</v>
      </c>
    </row>
    <row r="29" spans="1:24" s="85" customFormat="1" x14ac:dyDescent="0.25">
      <c r="A29" s="15" t="s">
        <v>48</v>
      </c>
      <c r="B29" s="99">
        <f t="shared" si="5"/>
        <v>386.78399999999999</v>
      </c>
      <c r="C29" s="99">
        <f t="shared" si="6"/>
        <v>32.231999999999999</v>
      </c>
      <c r="D29" s="99">
        <f t="shared" si="7"/>
        <v>18.096</v>
      </c>
      <c r="E29" s="100">
        <f t="shared" si="8"/>
        <v>0.60599999999999998</v>
      </c>
      <c r="F29" s="29">
        <f t="shared" si="9"/>
        <v>2637</v>
      </c>
      <c r="G29" s="112">
        <v>4237.8599999999997</v>
      </c>
      <c r="H29" s="112">
        <v>10109.869583890755</v>
      </c>
      <c r="I29" s="99">
        <v>12000</v>
      </c>
      <c r="J29" s="115">
        <f>SUM(G29:I29)</f>
        <v>26347.729583890756</v>
      </c>
      <c r="K29" s="99">
        <f t="shared" si="10"/>
        <v>13331.808602673642</v>
      </c>
      <c r="L29" s="104">
        <f t="shared" si="38"/>
        <v>39679.538186564401</v>
      </c>
      <c r="M29" s="39">
        <f>H29/L29</f>
        <v>0.25478798509086442</v>
      </c>
      <c r="N29" s="39">
        <f t="shared" si="39"/>
        <v>0.23013484015714505</v>
      </c>
      <c r="O29" s="105">
        <f t="shared" si="13"/>
        <v>2.4653144933719368E-2</v>
      </c>
      <c r="P29" s="13">
        <f t="shared" si="40"/>
        <v>0.27951088196048995</v>
      </c>
      <c r="Q29" s="13">
        <f t="shared" si="41"/>
        <v>0.64094381803702827</v>
      </c>
      <c r="R29" s="106">
        <v>48</v>
      </c>
      <c r="S29" s="106">
        <v>8058</v>
      </c>
      <c r="T29" s="107">
        <f>VLOOKUP(S29,'Mission Params'!$A$30:$F$41,3)</f>
        <v>0.377</v>
      </c>
      <c r="U29" s="85">
        <f>VLOOKUP(S29,'Mission Params'!$A$30:$F$41,4)</f>
        <v>2637</v>
      </c>
      <c r="V29" s="85">
        <f>VLOOKUP(S29,'Mission Params'!$A$30:$F$41,5)</f>
        <v>0.60599999999999998</v>
      </c>
      <c r="W29" s="85">
        <f>VLOOKUP(S29,'Mission Params'!$A$30:$F$41,6)</f>
        <v>0.2060702369867855</v>
      </c>
      <c r="X29" s="106">
        <f t="shared" si="16"/>
        <v>64695.459167781511</v>
      </c>
    </row>
    <row r="30" spans="1:24" s="15" customFormat="1" x14ac:dyDescent="0.25">
      <c r="A30" s="15" t="s">
        <v>48</v>
      </c>
      <c r="B30" s="99">
        <f t="shared" si="5"/>
        <v>386.78399999999999</v>
      </c>
      <c r="C30" s="99">
        <f t="shared" si="6"/>
        <v>32.231999999999999</v>
      </c>
      <c r="D30" s="99">
        <f t="shared" si="7"/>
        <v>18.096</v>
      </c>
      <c r="E30" s="100">
        <f t="shared" si="8"/>
        <v>0.60599999999999998</v>
      </c>
      <c r="F30" s="29">
        <f t="shared" si="9"/>
        <v>2637</v>
      </c>
      <c r="G30" s="112">
        <v>4237.8599999999997</v>
      </c>
      <c r="H30" s="112">
        <v>10109.869583890755</v>
      </c>
      <c r="I30" s="99">
        <v>16000</v>
      </c>
      <c r="J30" s="116">
        <f t="shared" ref="J30:J31" si="56">SUM(G30:I30)</f>
        <v>30347.729583890756</v>
      </c>
      <c r="K30" s="99">
        <f t="shared" si="10"/>
        <v>15804.651446515069</v>
      </c>
      <c r="L30" s="104">
        <f t="shared" si="38"/>
        <v>46152.381030405828</v>
      </c>
      <c r="M30" s="39">
        <f t="shared" ref="M30:M31" si="57">H30/L30</f>
        <v>0.21905412804661656</v>
      </c>
      <c r="N30" s="39">
        <f t="shared" si="39"/>
        <v>0.22367739084912369</v>
      </c>
      <c r="O30" s="105">
        <f t="shared" si="13"/>
        <v>-4.6232628025071332E-3</v>
      </c>
      <c r="P30" s="13">
        <f t="shared" si="40"/>
        <v>0.26293075676557498</v>
      </c>
      <c r="Q30" s="13">
        <f t="shared" si="41"/>
        <v>0.6622424394259292</v>
      </c>
      <c r="R30" s="106">
        <v>48</v>
      </c>
      <c r="S30" s="106">
        <v>8058</v>
      </c>
      <c r="T30" s="107">
        <f>VLOOKUP(S30,'Mission Params'!$A$30:$F$41,3)</f>
        <v>0.377</v>
      </c>
      <c r="U30" s="85">
        <f>VLOOKUP(S30,'Mission Params'!$A$30:$F$41,4)</f>
        <v>2637</v>
      </c>
      <c r="V30" s="85">
        <f>VLOOKUP(S30,'Mission Params'!$A$30:$F$41,5)</f>
        <v>0.60599999999999998</v>
      </c>
      <c r="W30" s="85">
        <f>VLOOKUP(S30,'Mission Params'!$A$30:$F$41,6)</f>
        <v>0.2060702369867855</v>
      </c>
      <c r="X30" s="106">
        <f t="shared" si="16"/>
        <v>76695.459167781519</v>
      </c>
    </row>
    <row r="31" spans="1:24" s="79" customFormat="1" ht="15.75" thickBot="1" x14ac:dyDescent="0.3">
      <c r="A31" s="79" t="s">
        <v>48</v>
      </c>
      <c r="B31" s="69">
        <f t="shared" si="5"/>
        <v>386.78399999999999</v>
      </c>
      <c r="C31" s="69">
        <f t="shared" si="6"/>
        <v>32.231999999999999</v>
      </c>
      <c r="D31" s="69">
        <f t="shared" si="7"/>
        <v>18.096</v>
      </c>
      <c r="E31" s="70">
        <f t="shared" si="8"/>
        <v>0.60599999999999998</v>
      </c>
      <c r="F31" s="71">
        <f t="shared" si="9"/>
        <v>2637</v>
      </c>
      <c r="G31" s="80">
        <v>4237.8599999999997</v>
      </c>
      <c r="H31" s="80">
        <v>10109.869583890755</v>
      </c>
      <c r="I31" s="69">
        <v>24000</v>
      </c>
      <c r="J31" s="84">
        <f t="shared" si="56"/>
        <v>38347.729583890759</v>
      </c>
      <c r="K31" s="69">
        <f t="shared" si="10"/>
        <v>20750.337134197922</v>
      </c>
      <c r="L31" s="74">
        <f t="shared" si="38"/>
        <v>59098.066718088681</v>
      </c>
      <c r="M31" s="81">
        <f t="shared" si="57"/>
        <v>0.17106937917473933</v>
      </c>
      <c r="N31" s="81">
        <f t="shared" si="39"/>
        <v>0.211681472124821</v>
      </c>
      <c r="O31" s="76">
        <f t="shared" si="13"/>
        <v>-4.0612092950081669E-2</v>
      </c>
      <c r="P31" s="75">
        <f t="shared" si="40"/>
        <v>0.23684553519898538</v>
      </c>
      <c r="Q31" s="75">
        <f t="shared" si="41"/>
        <v>0.69575118869416608</v>
      </c>
      <c r="R31" s="77">
        <v>48</v>
      </c>
      <c r="S31" s="77">
        <v>8058</v>
      </c>
      <c r="T31" s="78">
        <f>VLOOKUP(S31,'Mission Params'!$A$30:$F$41,3)</f>
        <v>0.377</v>
      </c>
      <c r="U31" s="68">
        <f>VLOOKUP(S31,'Mission Params'!$A$30:$F$41,4)</f>
        <v>2637</v>
      </c>
      <c r="V31" s="68">
        <f>VLOOKUP(S31,'Mission Params'!$A$30:$F$41,5)</f>
        <v>0.60599999999999998</v>
      </c>
      <c r="W31" s="68">
        <f>VLOOKUP(S31,'Mission Params'!$A$30:$F$41,6)</f>
        <v>0.2060702369867855</v>
      </c>
      <c r="X31" s="77">
        <f t="shared" si="16"/>
        <v>100695.45916778152</v>
      </c>
    </row>
    <row r="32" spans="1:24" s="108" customFormat="1" x14ac:dyDescent="0.25">
      <c r="A32" s="108" t="s">
        <v>41</v>
      </c>
      <c r="B32" s="99">
        <f t="shared" si="5"/>
        <v>290.81600000000003</v>
      </c>
      <c r="C32" s="99">
        <f t="shared" si="6"/>
        <v>18.176000000000002</v>
      </c>
      <c r="D32" s="88">
        <f t="shared" si="7"/>
        <v>12.672000000000001</v>
      </c>
      <c r="E32" s="89">
        <f t="shared" si="8"/>
        <v>0.58399999999999996</v>
      </c>
      <c r="F32" s="90">
        <f t="shared" si="9"/>
        <v>2696</v>
      </c>
      <c r="G32" s="109">
        <v>5119.7599999999993</v>
      </c>
      <c r="H32" s="109">
        <v>7201.9157363165268</v>
      </c>
      <c r="I32" s="88">
        <v>12000</v>
      </c>
      <c r="J32" s="90">
        <f t="shared" ref="J32:J36" si="58">SUM(G32:I32)</f>
        <v>24321.675736316527</v>
      </c>
      <c r="K32" s="88">
        <f t="shared" si="10"/>
        <v>12197.500147915085</v>
      </c>
      <c r="L32" s="90">
        <f>SUM(J32:K32)</f>
        <v>36519.175884231612</v>
      </c>
      <c r="M32" s="110">
        <f t="shared" ref="M32:M36" si="59">H32/L32</f>
        <v>0.19720915277899786</v>
      </c>
      <c r="N32" s="110">
        <f t="shared" ref="N32:N43" si="60">Q32*(1-Q32)</f>
        <v>0.21558479384592025</v>
      </c>
      <c r="O32" s="96">
        <f t="shared" si="13"/>
        <v>-1.8375641066922382E-2</v>
      </c>
      <c r="P32" s="95">
        <f t="shared" ref="P32:P43" si="61">SQRT(E32*H32*(1/J32 - 1/L32))</f>
        <v>0.24033035404178538</v>
      </c>
      <c r="Q32" s="95">
        <f t="shared" ref="Q32:Q43" si="62">1-(P32/SQRT(E32))</f>
        <v>0.6855133584248847</v>
      </c>
      <c r="R32" s="111">
        <v>64</v>
      </c>
      <c r="S32" s="97">
        <v>4544</v>
      </c>
      <c r="T32" s="98">
        <f>VLOOKUP(S32,'Mission Params'!$A$30:$F$41,3)</f>
        <v>0.19800000000000001</v>
      </c>
      <c r="U32" s="87">
        <f>VLOOKUP(S32,'Mission Params'!$A$30:$F$41,4)</f>
        <v>2696</v>
      </c>
      <c r="V32" s="87">
        <f>VLOOKUP(S32,'Mission Params'!$A$30:$F$41,5)</f>
        <v>0.58399999999999996</v>
      </c>
      <c r="W32" s="87">
        <f>VLOOKUP(S32,'Mission Params'!$A$30:$F$41,6)</f>
        <v>0.20113499421976266</v>
      </c>
      <c r="X32" s="97">
        <f t="shared" si="16"/>
        <v>60643.351472633054</v>
      </c>
    </row>
    <row r="33" spans="1:24" s="15" customFormat="1" x14ac:dyDescent="0.25">
      <c r="A33" s="15" t="s">
        <v>41</v>
      </c>
      <c r="B33" s="99">
        <f t="shared" si="5"/>
        <v>290.81600000000003</v>
      </c>
      <c r="C33" s="99">
        <f t="shared" si="6"/>
        <v>18.176000000000002</v>
      </c>
      <c r="D33" s="99">
        <f t="shared" si="7"/>
        <v>12.672000000000001</v>
      </c>
      <c r="E33" s="100">
        <f t="shared" si="8"/>
        <v>0.58399999999999996</v>
      </c>
      <c r="F33" s="29">
        <f t="shared" si="9"/>
        <v>2696</v>
      </c>
      <c r="G33" s="112">
        <v>5119.7599999999993</v>
      </c>
      <c r="H33" s="112">
        <v>7201.9157363165268</v>
      </c>
      <c r="I33" s="99">
        <v>16000</v>
      </c>
      <c r="J33" s="29">
        <f t="shared" si="58"/>
        <v>28321.675736316527</v>
      </c>
      <c r="K33" s="99">
        <f t="shared" si="10"/>
        <v>14611.120078552236</v>
      </c>
      <c r="L33" s="29">
        <f t="shared" ref="L33:L34" si="63">SUM(J33:K33)</f>
        <v>42932.795814868761</v>
      </c>
      <c r="M33" s="39">
        <f t="shared" si="59"/>
        <v>0.16774858472697726</v>
      </c>
      <c r="N33" s="39">
        <f t="shared" si="60"/>
        <v>0.207637729052844</v>
      </c>
      <c r="O33" s="105">
        <f t="shared" si="13"/>
        <v>-3.9889144325866738E-2</v>
      </c>
      <c r="P33" s="13">
        <f t="shared" si="61"/>
        <v>0.22481130044881673</v>
      </c>
      <c r="Q33" s="13">
        <f t="shared" si="62"/>
        <v>0.70582096819118312</v>
      </c>
      <c r="R33" s="113">
        <v>64</v>
      </c>
      <c r="S33" s="106">
        <v>4544</v>
      </c>
      <c r="T33" s="107">
        <f>VLOOKUP(S33,'Mission Params'!$A$30:$F$41,3)</f>
        <v>0.19800000000000001</v>
      </c>
      <c r="U33" s="85">
        <f>VLOOKUP(S33,'Mission Params'!$A$30:$F$41,4)</f>
        <v>2696</v>
      </c>
      <c r="V33" s="85">
        <f>VLOOKUP(S33,'Mission Params'!$A$30:$F$41,5)</f>
        <v>0.58399999999999996</v>
      </c>
      <c r="W33" s="85">
        <f>VLOOKUP(S33,'Mission Params'!$A$30:$F$41,6)</f>
        <v>0.20113499421976266</v>
      </c>
      <c r="X33" s="106">
        <f t="shared" si="16"/>
        <v>72643.351472633047</v>
      </c>
    </row>
    <row r="34" spans="1:24" s="15" customFormat="1" x14ac:dyDescent="0.25">
      <c r="A34" s="15" t="s">
        <v>41</v>
      </c>
      <c r="B34" s="99">
        <f t="shared" si="5"/>
        <v>290.81600000000003</v>
      </c>
      <c r="C34" s="99">
        <f t="shared" si="6"/>
        <v>18.176000000000002</v>
      </c>
      <c r="D34" s="99">
        <f t="shared" si="7"/>
        <v>12.672000000000001</v>
      </c>
      <c r="E34" s="100">
        <f t="shared" si="8"/>
        <v>0.58399999999999996</v>
      </c>
      <c r="F34" s="29">
        <f t="shared" si="9"/>
        <v>2696</v>
      </c>
      <c r="G34" s="112">
        <v>5119.7599999999993</v>
      </c>
      <c r="H34" s="112">
        <v>7201.9157363165268</v>
      </c>
      <c r="I34" s="99">
        <v>24000</v>
      </c>
      <c r="J34" s="29">
        <f t="shared" si="58"/>
        <v>36321.675736316523</v>
      </c>
      <c r="K34" s="99">
        <f t="shared" si="10"/>
        <v>19438.35993982654</v>
      </c>
      <c r="L34" s="29">
        <f t="shared" si="63"/>
        <v>55760.035676143059</v>
      </c>
      <c r="M34" s="39">
        <f t="shared" si="59"/>
        <v>0.12915909484250684</v>
      </c>
      <c r="N34" s="39">
        <f t="shared" si="60"/>
        <v>0.19378898139393436</v>
      </c>
      <c r="O34" s="105">
        <f t="shared" si="13"/>
        <v>-6.4629886551427512E-2</v>
      </c>
      <c r="P34" s="13">
        <f t="shared" si="61"/>
        <v>0.20091658663450862</v>
      </c>
      <c r="Q34" s="13">
        <f t="shared" si="62"/>
        <v>0.7370886302758225</v>
      </c>
      <c r="R34" s="113">
        <v>64</v>
      </c>
      <c r="S34" s="106">
        <v>4544</v>
      </c>
      <c r="T34" s="107">
        <f>VLOOKUP(S34,'Mission Params'!$A$30:$F$41,3)</f>
        <v>0.19800000000000001</v>
      </c>
      <c r="U34" s="85">
        <f>VLOOKUP(S34,'Mission Params'!$A$30:$F$41,4)</f>
        <v>2696</v>
      </c>
      <c r="V34" s="85">
        <f>VLOOKUP(S34,'Mission Params'!$A$30:$F$41,5)</f>
        <v>0.58399999999999996</v>
      </c>
      <c r="W34" s="85">
        <f>VLOOKUP(S34,'Mission Params'!$A$30:$F$41,6)</f>
        <v>0.20113499421976266</v>
      </c>
      <c r="X34" s="106">
        <f t="shared" si="16"/>
        <v>96643.351472633047</v>
      </c>
    </row>
    <row r="35" spans="1:24" s="79" customFormat="1" ht="15.75" thickBot="1" x14ac:dyDescent="0.3">
      <c r="A35" s="79" t="s">
        <v>41</v>
      </c>
      <c r="B35" s="69">
        <f t="shared" si="5"/>
        <v>290.81600000000003</v>
      </c>
      <c r="C35" s="69">
        <f t="shared" si="6"/>
        <v>18.176000000000002</v>
      </c>
      <c r="D35" s="69">
        <f t="shared" si="7"/>
        <v>12.672000000000001</v>
      </c>
      <c r="E35" s="70">
        <f t="shared" ref="E35" si="64">V35</f>
        <v>0.58399999999999996</v>
      </c>
      <c r="F35" s="71">
        <f t="shared" si="9"/>
        <v>2696</v>
      </c>
      <c r="G35" s="80">
        <v>5119.7599999999993</v>
      </c>
      <c r="H35" s="80">
        <v>7201.9157363165268</v>
      </c>
      <c r="I35" s="69">
        <v>36000</v>
      </c>
      <c r="J35" s="71">
        <f t="shared" ref="J35" si="65">SUM(G35:I35)</f>
        <v>48321.675736316523</v>
      </c>
      <c r="K35" s="69">
        <f t="shared" si="10"/>
        <v>26679.219731737994</v>
      </c>
      <c r="L35" s="71">
        <f t="shared" ref="L35" si="66">SUM(J35:K35)</f>
        <v>75000.895468054514</v>
      </c>
      <c r="M35" s="81">
        <f t="shared" ref="M35" si="67">H35/L35</f>
        <v>9.6024396660491507E-2</v>
      </c>
      <c r="N35" s="81">
        <f t="shared" si="60"/>
        <v>0.17723686054740762</v>
      </c>
      <c r="O35" s="76">
        <f t="shared" si="13"/>
        <v>-8.1212463886916109E-2</v>
      </c>
      <c r="P35" s="75">
        <f t="shared" ref="P35" si="68">SQRT(E35*H35*(1/J35 - 1/L35))</f>
        <v>0.1759595269421271</v>
      </c>
      <c r="Q35" s="75">
        <f t="shared" ref="Q35" si="69">1-(P35/SQRT(E35))</f>
        <v>0.76974643547708355</v>
      </c>
      <c r="R35" s="82">
        <v>64</v>
      </c>
      <c r="S35" s="77">
        <v>4544</v>
      </c>
      <c r="T35" s="78">
        <f>VLOOKUP(S35,'Mission Params'!$A$30:$F$41,3)</f>
        <v>0.19800000000000001</v>
      </c>
      <c r="U35" s="68">
        <f>VLOOKUP(S35,'Mission Params'!$A$30:$F$41,4)</f>
        <v>2696</v>
      </c>
      <c r="V35" s="68">
        <f>VLOOKUP(S35,'Mission Params'!$A$30:$F$41,5)</f>
        <v>0.58399999999999996</v>
      </c>
      <c r="W35" s="68">
        <f>VLOOKUP(S35,'Mission Params'!$A$30:$F$41,6)</f>
        <v>0.20113499421976266</v>
      </c>
      <c r="X35" s="77">
        <f t="shared" ref="X35" si="70">(I35+2*J35)</f>
        <v>132643.35147263305</v>
      </c>
    </row>
    <row r="36" spans="1:24" s="108" customFormat="1" x14ac:dyDescent="0.25">
      <c r="A36" s="108" t="s">
        <v>45</v>
      </c>
      <c r="B36" s="99">
        <f t="shared" si="5"/>
        <v>404.928</v>
      </c>
      <c r="C36" s="99">
        <f t="shared" si="6"/>
        <v>25.308</v>
      </c>
      <c r="D36" s="88">
        <f t="shared" si="7"/>
        <v>18.88</v>
      </c>
      <c r="E36" s="89">
        <f t="shared" si="8"/>
        <v>0.60599999999999998</v>
      </c>
      <c r="F36" s="90">
        <f t="shared" si="9"/>
        <v>2583</v>
      </c>
      <c r="G36" s="109">
        <v>5208</v>
      </c>
      <c r="H36" s="109">
        <v>7201.9157363165268</v>
      </c>
      <c r="I36" s="88">
        <v>12000</v>
      </c>
      <c r="J36" s="90">
        <f t="shared" si="58"/>
        <v>24409.915736316529</v>
      </c>
      <c r="K36" s="88">
        <f t="shared" si="10"/>
        <v>12821.050619247522</v>
      </c>
      <c r="L36" s="90">
        <f>SUM(J36:K36)</f>
        <v>37230.966355564051</v>
      </c>
      <c r="M36" s="110">
        <f t="shared" si="59"/>
        <v>0.19343886128382007</v>
      </c>
      <c r="N36" s="110">
        <f t="shared" si="60"/>
        <v>0.21714852725404682</v>
      </c>
      <c r="O36" s="96">
        <f t="shared" si="13"/>
        <v>-2.3709665970226751E-2</v>
      </c>
      <c r="P36" s="95">
        <f t="shared" si="61"/>
        <v>0.24813432355914944</v>
      </c>
      <c r="Q36" s="95">
        <f t="shared" si="62"/>
        <v>0.68124975240246033</v>
      </c>
      <c r="R36" s="111">
        <v>64</v>
      </c>
      <c r="S36" s="97">
        <v>6327</v>
      </c>
      <c r="T36" s="98">
        <f>VLOOKUP(S36,'Mission Params'!$A$30:$F$41,3)</f>
        <v>0.29499999999999998</v>
      </c>
      <c r="U36" s="87">
        <f>VLOOKUP(S36,'Mission Params'!$A$30:$F$41,4)</f>
        <v>2583</v>
      </c>
      <c r="V36" s="87">
        <f>VLOOKUP(S36,'Mission Params'!$A$30:$F$41,5)</f>
        <v>0.60599999999999998</v>
      </c>
      <c r="W36" s="87">
        <f>VLOOKUP(S36,'Mission Params'!$A$30:$F$41,6)</f>
        <v>0.21080378404232469</v>
      </c>
      <c r="X36" s="97">
        <f t="shared" ref="X36:X43" si="71">(I35+2*J36)</f>
        <v>84819.831472633057</v>
      </c>
    </row>
    <row r="37" spans="1:24" s="15" customFormat="1" x14ac:dyDescent="0.25">
      <c r="A37" s="15" t="s">
        <v>45</v>
      </c>
      <c r="B37" s="99">
        <f t="shared" si="5"/>
        <v>404.928</v>
      </c>
      <c r="C37" s="99">
        <f t="shared" si="6"/>
        <v>25.308</v>
      </c>
      <c r="D37" s="99">
        <f t="shared" si="7"/>
        <v>18.88</v>
      </c>
      <c r="E37" s="100">
        <f t="shared" si="8"/>
        <v>0.60599999999999998</v>
      </c>
      <c r="F37" s="29">
        <f t="shared" si="9"/>
        <v>2583</v>
      </c>
      <c r="G37" s="112">
        <v>5207.8849999999993</v>
      </c>
      <c r="H37" s="112">
        <v>11053.952441022409</v>
      </c>
      <c r="I37" s="99">
        <v>16000</v>
      </c>
      <c r="J37" s="116">
        <f>SUM(G37:I37)</f>
        <v>32261.83744102241</v>
      </c>
      <c r="K37" s="99">
        <f t="shared" si="10"/>
        <v>16974.695370128939</v>
      </c>
      <c r="L37" s="29">
        <f t="shared" ref="L37:L43" si="72">SUM(J37:K37)</f>
        <v>49236.532811151352</v>
      </c>
      <c r="M37" s="39">
        <f>H37/L37</f>
        <v>0.22450712529698783</v>
      </c>
      <c r="N37" s="39">
        <f t="shared" si="60"/>
        <v>0.22556832531475687</v>
      </c>
      <c r="O37" s="105">
        <f t="shared" si="13"/>
        <v>-1.0612000177690484E-3</v>
      </c>
      <c r="P37" s="13">
        <f t="shared" si="61"/>
        <v>0.26755176595747604</v>
      </c>
      <c r="Q37" s="13">
        <f t="shared" si="62"/>
        <v>0.65630634883216721</v>
      </c>
      <c r="R37" s="113">
        <v>64</v>
      </c>
      <c r="S37" s="106">
        <v>6327</v>
      </c>
      <c r="T37" s="107">
        <f>VLOOKUP(S37,'Mission Params'!$A$30:$F$41,3)</f>
        <v>0.29499999999999998</v>
      </c>
      <c r="U37" s="85">
        <f>VLOOKUP(S37,'Mission Params'!$A$30:$F$41,4)</f>
        <v>2583</v>
      </c>
      <c r="V37" s="85">
        <f>VLOOKUP(S37,'Mission Params'!$A$30:$F$41,5)</f>
        <v>0.60599999999999998</v>
      </c>
      <c r="W37" s="85">
        <f>VLOOKUP(S37,'Mission Params'!$A$30:$F$41,6)</f>
        <v>0.21080378404232469</v>
      </c>
      <c r="X37" s="106">
        <f t="shared" si="71"/>
        <v>76523.674882044812</v>
      </c>
    </row>
    <row r="38" spans="1:24" s="15" customFormat="1" x14ac:dyDescent="0.25">
      <c r="A38" s="15" t="s">
        <v>45</v>
      </c>
      <c r="B38" s="99">
        <f t="shared" si="5"/>
        <v>404.928</v>
      </c>
      <c r="C38" s="99">
        <f t="shared" si="6"/>
        <v>25.308</v>
      </c>
      <c r="D38" s="99">
        <f t="shared" si="7"/>
        <v>18.88</v>
      </c>
      <c r="E38" s="100">
        <f t="shared" si="8"/>
        <v>0.60599999999999998</v>
      </c>
      <c r="F38" s="29">
        <f t="shared" si="9"/>
        <v>2583</v>
      </c>
      <c r="G38" s="112">
        <v>5207.8849999999993</v>
      </c>
      <c r="H38" s="112">
        <v>11053.952441022409</v>
      </c>
      <c r="I38" s="99">
        <v>24000</v>
      </c>
      <c r="J38" s="116">
        <f>SUM(G38:I38)</f>
        <v>40261.837441022406</v>
      </c>
      <c r="K38" s="99">
        <f t="shared" si="10"/>
        <v>22033.986187144732</v>
      </c>
      <c r="L38" s="29">
        <f t="shared" si="72"/>
        <v>62295.823628167142</v>
      </c>
      <c r="M38" s="39">
        <f>H38/L38</f>
        <v>0.17744291346080462</v>
      </c>
      <c r="N38" s="39">
        <f t="shared" si="60"/>
        <v>0.21451398867985472</v>
      </c>
      <c r="O38" s="105">
        <f t="shared" si="13"/>
        <v>-3.7071075219050093E-2</v>
      </c>
      <c r="P38" s="13">
        <f t="shared" si="61"/>
        <v>0.24258580412082351</v>
      </c>
      <c r="Q38" s="13">
        <f t="shared" si="62"/>
        <v>0.68837731105455691</v>
      </c>
      <c r="R38" s="113">
        <v>64</v>
      </c>
      <c r="S38" s="106">
        <v>6327</v>
      </c>
      <c r="T38" s="107">
        <f>VLOOKUP(S38,'Mission Params'!$A$30:$F$41,3)</f>
        <v>0.29499999999999998</v>
      </c>
      <c r="U38" s="85">
        <f>VLOOKUP(S38,'Mission Params'!$A$30:$F$41,4)</f>
        <v>2583</v>
      </c>
      <c r="V38" s="85">
        <f>VLOOKUP(S38,'Mission Params'!$A$30:$F$41,5)</f>
        <v>0.60599999999999998</v>
      </c>
      <c r="W38" s="85">
        <f>VLOOKUP(S38,'Mission Params'!$A$30:$F$41,6)</f>
        <v>0.21080378404232469</v>
      </c>
      <c r="X38" s="106">
        <f t="shared" si="71"/>
        <v>96523.674882044812</v>
      </c>
    </row>
    <row r="39" spans="1:24" s="79" customFormat="1" ht="15.75" thickBot="1" x14ac:dyDescent="0.3">
      <c r="A39" s="79" t="s">
        <v>45</v>
      </c>
      <c r="B39" s="69">
        <f t="shared" si="5"/>
        <v>404.928</v>
      </c>
      <c r="C39" s="69">
        <f t="shared" si="6"/>
        <v>25.308</v>
      </c>
      <c r="D39" s="69">
        <f t="shared" si="7"/>
        <v>18.88</v>
      </c>
      <c r="E39" s="70">
        <f t="shared" si="8"/>
        <v>0.60599999999999998</v>
      </c>
      <c r="F39" s="71">
        <f t="shared" si="9"/>
        <v>2583</v>
      </c>
      <c r="G39" s="80">
        <v>5207.8849999999993</v>
      </c>
      <c r="H39" s="80">
        <v>11053.952441022409</v>
      </c>
      <c r="I39" s="69">
        <v>36000</v>
      </c>
      <c r="J39" s="84">
        <f t="shared" ref="J39:J40" si="73">SUM(G39:I39)</f>
        <v>52261.837441022406</v>
      </c>
      <c r="K39" s="69">
        <f t="shared" si="10"/>
        <v>29622.92241266842</v>
      </c>
      <c r="L39" s="71">
        <f t="shared" si="72"/>
        <v>81884.759853690834</v>
      </c>
      <c r="M39" s="81">
        <f t="shared" ref="M39:M40" si="74">H39/L39</f>
        <v>0.13499401428023078</v>
      </c>
      <c r="N39" s="81">
        <f t="shared" si="60"/>
        <v>0.20010003594671291</v>
      </c>
      <c r="O39" s="76">
        <f t="shared" si="13"/>
        <v>-6.5106021666482133E-2</v>
      </c>
      <c r="P39" s="75">
        <f t="shared" si="61"/>
        <v>0.21533527597349753</v>
      </c>
      <c r="Q39" s="75">
        <f t="shared" si="62"/>
        <v>0.72338299857707855</v>
      </c>
      <c r="R39" s="82">
        <v>64</v>
      </c>
      <c r="S39" s="77">
        <v>6327</v>
      </c>
      <c r="T39" s="78">
        <f>VLOOKUP(S39,'Mission Params'!$A$30:$F$41,3)</f>
        <v>0.29499999999999998</v>
      </c>
      <c r="U39" s="68">
        <f>VLOOKUP(S39,'Mission Params'!$A$30:$F$41,4)</f>
        <v>2583</v>
      </c>
      <c r="V39" s="68">
        <f>VLOOKUP(S39,'Mission Params'!$A$30:$F$41,5)</f>
        <v>0.60599999999999998</v>
      </c>
      <c r="W39" s="68">
        <f>VLOOKUP(S39,'Mission Params'!$A$30:$F$41,6)</f>
        <v>0.21080378404232469</v>
      </c>
      <c r="X39" s="77">
        <f t="shared" si="71"/>
        <v>128523.67488204481</v>
      </c>
    </row>
    <row r="40" spans="1:24" s="108" customFormat="1" x14ac:dyDescent="0.25">
      <c r="A40" s="108" t="s">
        <v>49</v>
      </c>
      <c r="B40" s="99">
        <f t="shared" si="5"/>
        <v>515.71199999999999</v>
      </c>
      <c r="C40" s="99">
        <f t="shared" si="6"/>
        <v>32.231999999999999</v>
      </c>
      <c r="D40" s="88">
        <f t="shared" si="7"/>
        <v>24.128</v>
      </c>
      <c r="E40" s="89">
        <f t="shared" si="8"/>
        <v>0.60599999999999998</v>
      </c>
      <c r="F40" s="90">
        <f t="shared" si="9"/>
        <v>2637</v>
      </c>
      <c r="G40" s="109">
        <v>5297</v>
      </c>
      <c r="H40" s="109">
        <v>11053.952441022409</v>
      </c>
      <c r="I40" s="88">
        <v>12000</v>
      </c>
      <c r="J40" s="117">
        <f t="shared" si="73"/>
        <v>28350.952441022411</v>
      </c>
      <c r="K40" s="88">
        <f t="shared" si="10"/>
        <v>14157.417820486573</v>
      </c>
      <c r="L40" s="90">
        <f t="shared" si="72"/>
        <v>42508.370261508986</v>
      </c>
      <c r="M40" s="110">
        <f t="shared" si="74"/>
        <v>0.26004178407732748</v>
      </c>
      <c r="N40" s="110">
        <f t="shared" si="60"/>
        <v>0.23049909184225065</v>
      </c>
      <c r="O40" s="96">
        <f t="shared" si="13"/>
        <v>2.9542692235076828E-2</v>
      </c>
      <c r="P40" s="95">
        <f t="shared" si="61"/>
        <v>0.28052145221911978</v>
      </c>
      <c r="Q40" s="95">
        <f t="shared" si="62"/>
        <v>0.63964565212619173</v>
      </c>
      <c r="R40" s="111">
        <v>64</v>
      </c>
      <c r="S40" s="97">
        <v>8058</v>
      </c>
      <c r="T40" s="98">
        <f>VLOOKUP(S40,'Mission Params'!$A$30:$F$41,3)</f>
        <v>0.377</v>
      </c>
      <c r="U40" s="87">
        <f>VLOOKUP(S40,'Mission Params'!$A$30:$F$41,4)</f>
        <v>2637</v>
      </c>
      <c r="V40" s="87">
        <f>VLOOKUP(S40,'Mission Params'!$A$30:$F$41,5)</f>
        <v>0.60599999999999998</v>
      </c>
      <c r="W40" s="87">
        <f>VLOOKUP(S40,'Mission Params'!$A$30:$F$41,6)</f>
        <v>0.2060702369867855</v>
      </c>
      <c r="X40" s="97">
        <f t="shared" si="71"/>
        <v>92701.904882044822</v>
      </c>
    </row>
    <row r="41" spans="1:24" s="15" customFormat="1" x14ac:dyDescent="0.25">
      <c r="A41" s="15" t="s">
        <v>49</v>
      </c>
      <c r="B41" s="99">
        <f t="shared" si="5"/>
        <v>515.71199999999999</v>
      </c>
      <c r="C41" s="99">
        <f t="shared" si="6"/>
        <v>32.231999999999999</v>
      </c>
      <c r="D41" s="99">
        <f t="shared" si="7"/>
        <v>24.128</v>
      </c>
      <c r="E41" s="100">
        <f t="shared" si="8"/>
        <v>0.60599999999999998</v>
      </c>
      <c r="F41" s="29">
        <f t="shared" si="9"/>
        <v>2637</v>
      </c>
      <c r="G41" s="113">
        <v>5297.1849999999995</v>
      </c>
      <c r="H41" s="113">
        <v>15719.962128081233</v>
      </c>
      <c r="I41" s="99">
        <v>16000</v>
      </c>
      <c r="J41" s="116">
        <f>SUM(G41:I41)</f>
        <v>37017.147128081233</v>
      </c>
      <c r="K41" s="99">
        <f t="shared" si="10"/>
        <v>18553.388354305382</v>
      </c>
      <c r="L41" s="29">
        <f t="shared" si="72"/>
        <v>55570.535482386615</v>
      </c>
      <c r="M41" s="39">
        <f>H41/L41</f>
        <v>0.28288304209456039</v>
      </c>
      <c r="N41" s="39">
        <f t="shared" si="60"/>
        <v>0.23475816010325318</v>
      </c>
      <c r="O41" s="105">
        <f t="shared" si="13"/>
        <v>4.8124881991307211E-2</v>
      </c>
      <c r="P41" s="13">
        <f t="shared" si="61"/>
        <v>0.293123011573938</v>
      </c>
      <c r="Q41" s="13">
        <f t="shared" si="62"/>
        <v>0.62345784663903236</v>
      </c>
      <c r="R41" s="113">
        <v>64</v>
      </c>
      <c r="S41" s="106">
        <v>8058</v>
      </c>
      <c r="T41" s="107">
        <f>VLOOKUP(S41,'Mission Params'!$A$30:$F$41,3)</f>
        <v>0.377</v>
      </c>
      <c r="U41" s="85">
        <f>VLOOKUP(S41,'Mission Params'!$A$30:$F$41,4)</f>
        <v>2637</v>
      </c>
      <c r="V41" s="85">
        <f>VLOOKUP(S41,'Mission Params'!$A$30:$F$41,5)</f>
        <v>0.60599999999999998</v>
      </c>
      <c r="W41" s="85">
        <f>VLOOKUP(S41,'Mission Params'!$A$30:$F$41,6)</f>
        <v>0.2060702369867855</v>
      </c>
      <c r="X41" s="106">
        <f t="shared" si="71"/>
        <v>86034.294256162466</v>
      </c>
    </row>
    <row r="42" spans="1:24" s="15" customFormat="1" x14ac:dyDescent="0.25">
      <c r="A42" s="15" t="s">
        <v>49</v>
      </c>
      <c r="B42" s="99">
        <f t="shared" si="5"/>
        <v>515.71199999999999</v>
      </c>
      <c r="C42" s="99">
        <f t="shared" si="6"/>
        <v>32.231999999999999</v>
      </c>
      <c r="D42" s="99">
        <f t="shared" si="7"/>
        <v>24.128</v>
      </c>
      <c r="E42" s="100">
        <f t="shared" si="8"/>
        <v>0.60599999999999998</v>
      </c>
      <c r="F42" s="29">
        <f t="shared" si="9"/>
        <v>2637</v>
      </c>
      <c r="G42" s="113">
        <v>5297.1849999999995</v>
      </c>
      <c r="H42" s="113">
        <v>15719.962128081233</v>
      </c>
      <c r="I42" s="99">
        <v>24000</v>
      </c>
      <c r="J42" s="116">
        <f t="shared" ref="J42:J43" si="75">SUM(G42:I42)</f>
        <v>45017.147128081233</v>
      </c>
      <c r="K42" s="99">
        <f t="shared" si="10"/>
        <v>23499.074041988231</v>
      </c>
      <c r="L42" s="29">
        <f t="shared" si="72"/>
        <v>68516.221170069461</v>
      </c>
      <c r="M42" s="39">
        <f t="shared" ref="M42:M43" si="76">H42/L42</f>
        <v>0.22943416696991342</v>
      </c>
      <c r="N42" s="39">
        <f t="shared" si="60"/>
        <v>0.22630591910367565</v>
      </c>
      <c r="O42" s="105">
        <f t="shared" si="13"/>
        <v>3.1282478662377766E-3</v>
      </c>
      <c r="P42" s="13">
        <f t="shared" si="61"/>
        <v>0.269402578942116</v>
      </c>
      <c r="Q42" s="13">
        <f t="shared" si="62"/>
        <v>0.65392881762790345</v>
      </c>
      <c r="R42" s="113">
        <v>64</v>
      </c>
      <c r="S42" s="106">
        <v>8058</v>
      </c>
      <c r="T42" s="107">
        <f>VLOOKUP(S42,'Mission Params'!$A$30:$F$41,3)</f>
        <v>0.377</v>
      </c>
      <c r="U42" s="85">
        <f>VLOOKUP(S42,'Mission Params'!$A$30:$F$41,4)</f>
        <v>2637</v>
      </c>
      <c r="V42" s="85">
        <f>VLOOKUP(S42,'Mission Params'!$A$30:$F$41,5)</f>
        <v>0.60599999999999998</v>
      </c>
      <c r="W42" s="85">
        <f>VLOOKUP(S42,'Mission Params'!$A$30:$F$41,6)</f>
        <v>0.2060702369867855</v>
      </c>
      <c r="X42" s="106">
        <f t="shared" si="71"/>
        <v>106034.29425616247</v>
      </c>
    </row>
    <row r="43" spans="1:24" s="79" customFormat="1" ht="15.75" thickBot="1" x14ac:dyDescent="0.3">
      <c r="A43" s="79" t="s">
        <v>49</v>
      </c>
      <c r="B43" s="69">
        <f t="shared" si="5"/>
        <v>515.71199999999999</v>
      </c>
      <c r="C43" s="69">
        <f t="shared" si="6"/>
        <v>32.231999999999999</v>
      </c>
      <c r="D43" s="69">
        <f t="shared" si="7"/>
        <v>24.128</v>
      </c>
      <c r="E43" s="70">
        <f t="shared" si="8"/>
        <v>0.60599999999999998</v>
      </c>
      <c r="F43" s="71">
        <f t="shared" si="9"/>
        <v>2637</v>
      </c>
      <c r="G43" s="82">
        <v>5297.1849999999995</v>
      </c>
      <c r="H43" s="82">
        <v>15719.962128081233</v>
      </c>
      <c r="I43" s="69">
        <v>36000</v>
      </c>
      <c r="J43" s="84">
        <f t="shared" si="75"/>
        <v>57017.147128081233</v>
      </c>
      <c r="K43" s="69">
        <f t="shared" si="10"/>
        <v>30917.602573512515</v>
      </c>
      <c r="L43" s="71">
        <f t="shared" si="72"/>
        <v>87934.749701593741</v>
      </c>
      <c r="M43" s="81">
        <f t="shared" si="76"/>
        <v>0.17876848664978146</v>
      </c>
      <c r="N43" s="81">
        <f t="shared" si="60"/>
        <v>0.21441030522252985</v>
      </c>
      <c r="O43" s="76">
        <f t="shared" si="13"/>
        <v>-3.5641818572748396E-2</v>
      </c>
      <c r="P43" s="75">
        <f t="shared" si="61"/>
        <v>0.24237172697364259</v>
      </c>
      <c r="Q43" s="75">
        <f t="shared" si="62"/>
        <v>0.68865231187947351</v>
      </c>
      <c r="R43" s="82">
        <v>64</v>
      </c>
      <c r="S43" s="77">
        <v>8058</v>
      </c>
      <c r="T43" s="78">
        <f>VLOOKUP(S43,'Mission Params'!$A$30:$F$41,3)</f>
        <v>0.377</v>
      </c>
      <c r="U43" s="68">
        <f>VLOOKUP(S43,'Mission Params'!$A$30:$F$41,4)</f>
        <v>2637</v>
      </c>
      <c r="V43" s="68">
        <f>VLOOKUP(S43,'Mission Params'!$A$30:$F$41,5)</f>
        <v>0.60599999999999998</v>
      </c>
      <c r="W43" s="68">
        <f>VLOOKUP(S43,'Mission Params'!$A$30:$F$41,6)</f>
        <v>0.2060702369867855</v>
      </c>
      <c r="X43" s="77">
        <f t="shared" si="71"/>
        <v>138034.29425616248</v>
      </c>
    </row>
    <row r="44" spans="1:24" x14ac:dyDescent="0.25">
      <c r="B44" s="35"/>
      <c r="C44" s="35"/>
      <c r="R44" s="12"/>
      <c r="S44" s="46"/>
      <c r="T44" s="49"/>
      <c r="U44" s="23"/>
      <c r="V44" s="23"/>
      <c r="W44" s="23"/>
      <c r="X44" s="46"/>
    </row>
  </sheetData>
  <conditionalFormatting sqref="O2">
    <cfRule type="expression" dxfId="42" priority="16">
      <formula>ABS($O2)&lt;_xlnm.Criteria</formula>
    </cfRule>
  </conditionalFormatting>
  <conditionalFormatting sqref="I2">
    <cfRule type="expression" dxfId="41" priority="11">
      <formula>ABS($O2)&lt;_xlnm.Criteria</formula>
    </cfRule>
  </conditionalFormatting>
  <conditionalFormatting sqref="O3:O43">
    <cfRule type="expression" dxfId="40" priority="3">
      <formula>ABS($O3)&lt;_xlnm.Criteria</formula>
    </cfRule>
  </conditionalFormatting>
  <conditionalFormatting sqref="I3:I43">
    <cfRule type="expression" dxfId="39" priority="2">
      <formula>ABS($O3)&lt;_xlnm.Criteria</formula>
    </cfRule>
  </conditionalFormatting>
  <conditionalFormatting sqref="K2:K43">
    <cfRule type="expression" dxfId="38" priority="1">
      <formula>ABS($O2)&lt;_xlnm.Criteria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1839D-ABA4-4F7C-9683-5F5150EF737D}">
  <sheetPr>
    <pageSetUpPr fitToPage="1"/>
  </sheetPr>
  <dimension ref="A1:X43"/>
  <sheetViews>
    <sheetView topLeftCell="A7" zoomScale="80" zoomScaleNormal="80" workbookViewId="0">
      <selection activeCell="K2" sqref="K2"/>
    </sheetView>
  </sheetViews>
  <sheetFormatPr defaultRowHeight="15" x14ac:dyDescent="0.25"/>
  <cols>
    <col min="1" max="1" width="17.28515625" customWidth="1"/>
    <col min="2" max="4" width="10.7109375" customWidth="1"/>
    <col min="5" max="6" width="10.7109375" style="6" customWidth="1"/>
    <col min="7" max="12" width="10.7109375" customWidth="1"/>
    <col min="13" max="13" width="10.7109375" style="15" customWidth="1"/>
    <col min="14" max="14" width="10.7109375" style="6" customWidth="1"/>
    <col min="15" max="15" width="10.7109375" customWidth="1"/>
    <col min="16" max="17" width="10.7109375" style="6" customWidth="1"/>
    <col min="24" max="24" width="11.140625" customWidth="1"/>
  </cols>
  <sheetData>
    <row r="1" spans="1:24" ht="45" x14ac:dyDescent="0.25">
      <c r="A1" s="42" t="s">
        <v>4</v>
      </c>
      <c r="B1" s="43" t="s">
        <v>191</v>
      </c>
      <c r="C1" s="43" t="s">
        <v>192</v>
      </c>
      <c r="D1" s="43" t="s">
        <v>63</v>
      </c>
      <c r="E1" s="44" t="s">
        <v>61</v>
      </c>
      <c r="F1" s="44" t="s">
        <v>62</v>
      </c>
      <c r="G1" s="18" t="s">
        <v>73</v>
      </c>
      <c r="H1" s="43" t="s">
        <v>74</v>
      </c>
      <c r="I1" s="43" t="s">
        <v>75</v>
      </c>
      <c r="J1" s="43" t="s">
        <v>76</v>
      </c>
      <c r="K1" s="43" t="s">
        <v>87</v>
      </c>
      <c r="L1" s="43" t="s">
        <v>88</v>
      </c>
      <c r="M1" s="53" t="s">
        <v>23</v>
      </c>
      <c r="N1" s="48" t="s">
        <v>22</v>
      </c>
      <c r="O1" s="52" t="s">
        <v>24</v>
      </c>
      <c r="P1" s="48" t="s">
        <v>72</v>
      </c>
      <c r="Q1" s="48" t="s">
        <v>21</v>
      </c>
      <c r="R1" s="48" t="s">
        <v>81</v>
      </c>
      <c r="S1" s="48" t="s">
        <v>82</v>
      </c>
      <c r="T1" s="48" t="s">
        <v>83</v>
      </c>
      <c r="U1" s="48" t="s">
        <v>62</v>
      </c>
      <c r="V1" s="48" t="s">
        <v>86</v>
      </c>
      <c r="W1" s="48" t="s">
        <v>80</v>
      </c>
      <c r="X1" s="47" t="s">
        <v>79</v>
      </c>
    </row>
    <row r="2" spans="1:24" s="23" customFormat="1" x14ac:dyDescent="0.25">
      <c r="A2" s="85" t="s">
        <v>50</v>
      </c>
      <c r="B2" s="35">
        <f>R2*S2*0.001</f>
        <v>73.007999999999996</v>
      </c>
      <c r="C2" s="35">
        <f>4*S2*0.001</f>
        <v>18.251999999999999</v>
      </c>
      <c r="D2" s="35">
        <f>T2*R2</f>
        <v>2.7519999999999998</v>
      </c>
      <c r="E2" s="50">
        <f>V2</f>
        <v>0.59199999999999997</v>
      </c>
      <c r="F2" s="29">
        <f>U2</f>
        <v>3203</v>
      </c>
      <c r="G2" s="34">
        <v>2066.335</v>
      </c>
      <c r="H2" s="35">
        <v>1252.7329653921568</v>
      </c>
      <c r="I2" s="30">
        <v>2000</v>
      </c>
      <c r="J2" s="36">
        <f>SUM(G2:I2)</f>
        <v>5319.067965392157</v>
      </c>
      <c r="K2" s="35">
        <f>(2*J2+I2)*W2</f>
        <v>2107.9351936609933</v>
      </c>
      <c r="L2" s="38">
        <f t="shared" ref="L2:L10" si="0">SUM(J2,K2)</f>
        <v>7427.0031590531507</v>
      </c>
      <c r="M2" s="13">
        <f t="shared" ref="M2:M10" si="1">H2/L2</f>
        <v>0.16867273899905874</v>
      </c>
      <c r="N2" s="21">
        <f t="shared" ref="N2:N9" si="2">Q2*(1-Q2)</f>
        <v>0.19169866733403734</v>
      </c>
      <c r="O2" s="51">
        <f>(M2-N2)</f>
        <v>-2.3025928334978601E-2</v>
      </c>
      <c r="P2" s="21">
        <f t="shared" ref="P2:P10" si="3">SQRT(E2*H2*(1/J2 - 1/L2))</f>
        <v>0.1989271953414746</v>
      </c>
      <c r="Q2" s="21">
        <f t="shared" ref="Q2:Q10" si="4">1-(P2/SQRT(E2))</f>
        <v>0.74145668900646067</v>
      </c>
      <c r="R2" s="46">
        <v>16</v>
      </c>
      <c r="S2" s="46">
        <v>4563</v>
      </c>
      <c r="T2" s="49">
        <f>VLOOKUP(S2,'Mission Params'!$A$30:$F$41,3)</f>
        <v>0.17199999999999999</v>
      </c>
      <c r="U2" s="23">
        <f>VLOOKUP(S2,'Mission Params'!$A$30:$F$41,4)</f>
        <v>3203</v>
      </c>
      <c r="V2" s="23">
        <f>VLOOKUP(S2,'Mission Params'!$A$30:$F$41,5)</f>
        <v>0.59199999999999997</v>
      </c>
      <c r="W2" s="23">
        <f>VLOOKUP(S2,'Mission Params'!$A$30:$F$41,6)</f>
        <v>0.16679162221435107</v>
      </c>
      <c r="X2" s="46">
        <f t="shared" ref="X2:X9" si="5">(I2+2*J2)</f>
        <v>12638.135930784314</v>
      </c>
    </row>
    <row r="3" spans="1:24" s="23" customFormat="1" x14ac:dyDescent="0.25">
      <c r="A3" s="85" t="s">
        <v>50</v>
      </c>
      <c r="B3" s="35">
        <f t="shared" ref="B3:B43" si="6">R3*S3*0.001</f>
        <v>73.007999999999996</v>
      </c>
      <c r="C3" s="35">
        <f t="shared" ref="C3:C43" si="7">4*S3*0.001</f>
        <v>18.251999999999999</v>
      </c>
      <c r="D3" s="35">
        <f t="shared" ref="D3:D43" si="8">T3*R3</f>
        <v>2.7519999999999998</v>
      </c>
      <c r="E3" s="50">
        <f t="shared" ref="E3:E40" si="9">V3</f>
        <v>0.59199999999999997</v>
      </c>
      <c r="F3" s="29">
        <f t="shared" ref="F3:F43" si="10">U3</f>
        <v>3203</v>
      </c>
      <c r="G3" s="34">
        <v>2066.335</v>
      </c>
      <c r="H3" s="35">
        <v>1252.7329653921568</v>
      </c>
      <c r="I3" s="30">
        <v>4000</v>
      </c>
      <c r="J3" s="36">
        <f t="shared" ref="J3:J9" si="11">SUM(G3:I3)</f>
        <v>7319.067965392157</v>
      </c>
      <c r="K3" s="35">
        <f t="shared" ref="K3:K43" si="12">(2*J3+I3)*W3</f>
        <v>3108.6849269470999</v>
      </c>
      <c r="L3" s="38">
        <f t="shared" si="0"/>
        <v>10427.752892339257</v>
      </c>
      <c r="M3" s="13">
        <f t="shared" si="1"/>
        <v>0.12013450820382178</v>
      </c>
      <c r="N3" s="21">
        <f t="shared" si="2"/>
        <v>0.17486295103341246</v>
      </c>
      <c r="O3" s="51">
        <f t="shared" ref="O3:O9" si="13">(M3-N3)</f>
        <v>-5.4728442829590676E-2</v>
      </c>
      <c r="P3" s="21">
        <f t="shared" si="3"/>
        <v>0.17380217398380615</v>
      </c>
      <c r="Q3" s="21">
        <f t="shared" si="4"/>
        <v>0.77411138058568008</v>
      </c>
      <c r="R3" s="46">
        <v>16</v>
      </c>
      <c r="S3" s="46">
        <v>4563</v>
      </c>
      <c r="T3" s="49">
        <f>VLOOKUP(S3,'Mission Params'!$A$30:$F$41,3)</f>
        <v>0.17199999999999999</v>
      </c>
      <c r="U3" s="23">
        <f>VLOOKUP(S3,'Mission Params'!$A$30:$F$41,4)</f>
        <v>3203</v>
      </c>
      <c r="V3" s="23">
        <f>VLOOKUP(S3,'Mission Params'!$A$30:$F$41,5)</f>
        <v>0.59199999999999997</v>
      </c>
      <c r="W3" s="23">
        <f>VLOOKUP(S3,'Mission Params'!$A$30:$F$41,6)</f>
        <v>0.16679162221435107</v>
      </c>
      <c r="X3" s="46">
        <f t="shared" si="5"/>
        <v>18638.135930784316</v>
      </c>
    </row>
    <row r="4" spans="1:24" s="68" customFormat="1" ht="15.75" thickBot="1" x14ac:dyDescent="0.3">
      <c r="A4" s="68" t="s">
        <v>50</v>
      </c>
      <c r="B4" s="69">
        <f t="shared" si="6"/>
        <v>73.007999999999996</v>
      </c>
      <c r="C4" s="69">
        <f t="shared" si="7"/>
        <v>18.251999999999999</v>
      </c>
      <c r="D4" s="69">
        <f t="shared" ref="D4" si="14">T4*R4</f>
        <v>2.7519999999999998</v>
      </c>
      <c r="E4" s="70">
        <f t="shared" ref="E4" si="15">V4</f>
        <v>0.59199999999999997</v>
      </c>
      <c r="F4" s="71">
        <f t="shared" ref="F4" si="16">U4</f>
        <v>3203</v>
      </c>
      <c r="G4" s="72">
        <v>2066.335</v>
      </c>
      <c r="H4" s="69">
        <v>1252.7329653921568</v>
      </c>
      <c r="I4" s="86">
        <v>8000</v>
      </c>
      <c r="J4" s="73">
        <f t="shared" ref="J4" si="17">SUM(G4:I4)</f>
        <v>11319.067965392158</v>
      </c>
      <c r="K4" s="69">
        <f t="shared" si="12"/>
        <v>5110.1843935193128</v>
      </c>
      <c r="L4" s="74">
        <f t="shared" ref="L4" si="18">SUM(J4,K4)</f>
        <v>16429.252358911472</v>
      </c>
      <c r="M4" s="75">
        <f t="shared" si="1"/>
        <v>7.6250150525727103E-2</v>
      </c>
      <c r="N4" s="75">
        <f t="shared" ref="N4" si="19">Q4*(1-Q4)</f>
        <v>0.15111376707988888</v>
      </c>
      <c r="O4" s="76">
        <f t="shared" ref="O4" si="20">(M4-N4)</f>
        <v>-7.486361655416178E-2</v>
      </c>
      <c r="P4" s="75">
        <f t="shared" si="3"/>
        <v>0.142755930074842</v>
      </c>
      <c r="Q4" s="75">
        <f t="shared" si="4"/>
        <v>0.81446181472495371</v>
      </c>
      <c r="R4" s="77">
        <v>16</v>
      </c>
      <c r="S4" s="77">
        <v>4563</v>
      </c>
      <c r="T4" s="78">
        <f>VLOOKUP(S4,'Mission Params'!$A$30:$F$41,3)</f>
        <v>0.17199999999999999</v>
      </c>
      <c r="U4" s="68">
        <f>VLOOKUP(S4,'Mission Params'!$A$30:$F$41,4)</f>
        <v>3203</v>
      </c>
      <c r="V4" s="68">
        <f>VLOOKUP(S4,'Mission Params'!$A$30:$F$41,5)</f>
        <v>0.59199999999999997</v>
      </c>
      <c r="W4" s="68">
        <f>VLOOKUP(S4,'Mission Params'!$A$30:$F$41,6)</f>
        <v>0.16679162221435107</v>
      </c>
      <c r="X4" s="77">
        <f t="shared" ref="X4" si="21">(I4+2*J4)</f>
        <v>30638.135930784316</v>
      </c>
    </row>
    <row r="5" spans="1:24" s="87" customFormat="1" x14ac:dyDescent="0.25">
      <c r="A5" s="87" t="s">
        <v>58</v>
      </c>
      <c r="B5" s="35">
        <f t="shared" si="6"/>
        <v>101.47200000000001</v>
      </c>
      <c r="C5" s="35">
        <f t="shared" si="7"/>
        <v>25.368000000000002</v>
      </c>
      <c r="D5" s="88">
        <f t="shared" si="8"/>
        <v>3.8079999999999998</v>
      </c>
      <c r="E5" s="89">
        <f t="shared" si="9"/>
        <v>0.57999999999999996</v>
      </c>
      <c r="F5" s="90">
        <f t="shared" si="10"/>
        <v>3152</v>
      </c>
      <c r="G5" s="91">
        <v>2102.7600000000002</v>
      </c>
      <c r="H5" s="88">
        <v>1947.3536529215689</v>
      </c>
      <c r="I5" s="92">
        <v>2000</v>
      </c>
      <c r="J5" s="93">
        <f t="shared" si="11"/>
        <v>6050.1136529215692</v>
      </c>
      <c r="K5" s="88">
        <f t="shared" si="12"/>
        <v>2392.9140529700589</v>
      </c>
      <c r="L5" s="94">
        <f t="shared" si="0"/>
        <v>8443.027705891629</v>
      </c>
      <c r="M5" s="95">
        <f t="shared" si="1"/>
        <v>0.23064636535098496</v>
      </c>
      <c r="N5" s="95">
        <f t="shared" si="2"/>
        <v>0.21080925821772351</v>
      </c>
      <c r="O5" s="96">
        <f t="shared" si="13"/>
        <v>1.983710713326145E-2</v>
      </c>
      <c r="P5" s="95">
        <f t="shared" si="3"/>
        <v>0.23002184782643106</v>
      </c>
      <c r="Q5" s="95">
        <f t="shared" si="4"/>
        <v>0.69796651682109401</v>
      </c>
      <c r="R5" s="97">
        <v>16</v>
      </c>
      <c r="S5" s="97">
        <v>6342</v>
      </c>
      <c r="T5" s="98">
        <f>VLOOKUP(S5,'Mission Params'!$A$30:$F$41,3)</f>
        <v>0.23799999999999999</v>
      </c>
      <c r="U5" s="87">
        <f>VLOOKUP(S5,'Mission Params'!$A$30:$F$41,4)</f>
        <v>3152</v>
      </c>
      <c r="V5" s="87">
        <f>VLOOKUP(S5,'Mission Params'!$A$30:$F$41,5)</f>
        <v>0.57999999999999996</v>
      </c>
      <c r="W5" s="87">
        <f>VLOOKUP(S5,'Mission Params'!$A$30:$F$41,6)</f>
        <v>0.16970748067149488</v>
      </c>
      <c r="X5" s="97">
        <f t="shared" si="5"/>
        <v>14100.227305843138</v>
      </c>
    </row>
    <row r="6" spans="1:24" s="85" customFormat="1" x14ac:dyDescent="0.25">
      <c r="A6" s="85" t="s">
        <v>58</v>
      </c>
      <c r="B6" s="35">
        <f t="shared" si="6"/>
        <v>101.47200000000001</v>
      </c>
      <c r="C6" s="35">
        <f t="shared" si="7"/>
        <v>25.368000000000002</v>
      </c>
      <c r="D6" s="99">
        <f t="shared" si="8"/>
        <v>3.8079999999999998</v>
      </c>
      <c r="E6" s="100">
        <f t="shared" si="9"/>
        <v>0.57999999999999996</v>
      </c>
      <c r="F6" s="29">
        <f t="shared" si="10"/>
        <v>3152</v>
      </c>
      <c r="G6" s="101">
        <v>2102.7600000000002</v>
      </c>
      <c r="H6" s="99">
        <v>1947.3536529215689</v>
      </c>
      <c r="I6" s="102">
        <v>4000</v>
      </c>
      <c r="J6" s="103">
        <f t="shared" si="11"/>
        <v>8050.1136529215692</v>
      </c>
      <c r="K6" s="99">
        <f t="shared" si="12"/>
        <v>3411.1589369990279</v>
      </c>
      <c r="L6" s="104">
        <f t="shared" si="0"/>
        <v>11461.272589920598</v>
      </c>
      <c r="M6" s="13">
        <f t="shared" si="1"/>
        <v>0.16990728015963363</v>
      </c>
      <c r="N6" s="13">
        <f t="shared" si="2"/>
        <v>0.19632521360708105</v>
      </c>
      <c r="O6" s="105">
        <f t="shared" si="13"/>
        <v>-2.6417933447447417E-2</v>
      </c>
      <c r="P6" s="13">
        <f t="shared" si="3"/>
        <v>0.2043477980409904</v>
      </c>
      <c r="Q6" s="13">
        <f t="shared" si="4"/>
        <v>0.7316781957649855</v>
      </c>
      <c r="R6" s="106">
        <v>16</v>
      </c>
      <c r="S6" s="106">
        <v>6342</v>
      </c>
      <c r="T6" s="107">
        <f>VLOOKUP(S6,'Mission Params'!$A$30:$F$41,3)</f>
        <v>0.23799999999999999</v>
      </c>
      <c r="U6" s="85">
        <f>VLOOKUP(S6,'Mission Params'!$A$30:$F$41,4)</f>
        <v>3152</v>
      </c>
      <c r="V6" s="85">
        <f>VLOOKUP(S6,'Mission Params'!$A$30:$F$41,5)</f>
        <v>0.57999999999999996</v>
      </c>
      <c r="W6" s="85">
        <f>VLOOKUP(S6,'Mission Params'!$A$30:$F$41,6)</f>
        <v>0.16970748067149488</v>
      </c>
      <c r="X6" s="106">
        <f t="shared" si="5"/>
        <v>20100.227305843138</v>
      </c>
    </row>
    <row r="7" spans="1:24" s="68" customFormat="1" ht="15.75" thickBot="1" x14ac:dyDescent="0.3">
      <c r="A7" s="68" t="s">
        <v>58</v>
      </c>
      <c r="B7" s="69">
        <f t="shared" si="6"/>
        <v>101.47200000000001</v>
      </c>
      <c r="C7" s="69">
        <f t="shared" si="7"/>
        <v>25.368000000000002</v>
      </c>
      <c r="D7" s="69">
        <f t="shared" ref="D7" si="22">T7*R7</f>
        <v>3.8079999999999998</v>
      </c>
      <c r="E7" s="70">
        <f t="shared" ref="E7" si="23">V7</f>
        <v>0.57999999999999996</v>
      </c>
      <c r="F7" s="71">
        <f t="shared" ref="F7" si="24">U7</f>
        <v>3152</v>
      </c>
      <c r="G7" s="72">
        <v>2102.7600000000002</v>
      </c>
      <c r="H7" s="69">
        <v>1947.3536529215689</v>
      </c>
      <c r="I7" s="86">
        <v>8000</v>
      </c>
      <c r="J7" s="73">
        <f t="shared" ref="J7" si="25">SUM(G7:I7)</f>
        <v>12050.113652921569</v>
      </c>
      <c r="K7" s="69">
        <f t="shared" si="12"/>
        <v>5447.6487050569667</v>
      </c>
      <c r="L7" s="74">
        <f t="shared" si="0"/>
        <v>17497.762357978536</v>
      </c>
      <c r="M7" s="75">
        <f t="shared" si="1"/>
        <v>0.11129158192239506</v>
      </c>
      <c r="N7" s="75">
        <f t="shared" ref="N7" si="26">Q7*(1-Q7)</f>
        <v>0.17399260265540598</v>
      </c>
      <c r="O7" s="76">
        <f t="shared" ref="O7" si="27">(M7-N7)</f>
        <v>-6.2701020733010912E-2</v>
      </c>
      <c r="P7" s="75">
        <f t="shared" si="3"/>
        <v>0.17082606229181213</v>
      </c>
      <c r="Q7" s="75">
        <f t="shared" si="4"/>
        <v>0.77569439120989392</v>
      </c>
      <c r="R7" s="77">
        <v>16</v>
      </c>
      <c r="S7" s="77">
        <v>6342</v>
      </c>
      <c r="T7" s="78">
        <f>VLOOKUP(S7,'Mission Params'!$A$30:$F$41,3)</f>
        <v>0.23799999999999999</v>
      </c>
      <c r="U7" s="68">
        <f>VLOOKUP(S7,'Mission Params'!$A$30:$F$41,4)</f>
        <v>3152</v>
      </c>
      <c r="V7" s="68">
        <f>VLOOKUP(S7,'Mission Params'!$A$30:$F$41,5)</f>
        <v>0.57999999999999996</v>
      </c>
      <c r="W7" s="68">
        <f>VLOOKUP(S7,'Mission Params'!$A$30:$F$41,6)</f>
        <v>0.16970748067149488</v>
      </c>
      <c r="X7" s="77">
        <f t="shared" ref="X7" si="28">(I7+2*J7)</f>
        <v>32100.227305843138</v>
      </c>
    </row>
    <row r="8" spans="1:24" s="87" customFormat="1" x14ac:dyDescent="0.25">
      <c r="A8" s="87" t="s">
        <v>54</v>
      </c>
      <c r="B8" s="35">
        <f t="shared" si="6"/>
        <v>128.75200000000001</v>
      </c>
      <c r="C8" s="35">
        <f t="shared" si="7"/>
        <v>32.188000000000002</v>
      </c>
      <c r="D8" s="88">
        <f t="shared" si="8"/>
        <v>5.2</v>
      </c>
      <c r="E8" s="89">
        <f t="shared" si="9"/>
        <v>0.60699999999999998</v>
      </c>
      <c r="F8" s="90">
        <f t="shared" si="10"/>
        <v>3068</v>
      </c>
      <c r="G8" s="91">
        <v>2120.3850000000002</v>
      </c>
      <c r="H8" s="88">
        <v>2379.1351239803926</v>
      </c>
      <c r="I8" s="92">
        <v>2000</v>
      </c>
      <c r="J8" s="93">
        <f t="shared" si="11"/>
        <v>6499.5201239803928</v>
      </c>
      <c r="K8" s="88">
        <f t="shared" si="12"/>
        <v>2620.9089788659226</v>
      </c>
      <c r="L8" s="94">
        <f t="shared" si="0"/>
        <v>9120.4291028463158</v>
      </c>
      <c r="M8" s="95">
        <f t="shared" si="1"/>
        <v>0.26085780582822676</v>
      </c>
      <c r="N8" s="95">
        <f t="shared" si="2"/>
        <v>0.219140082416277</v>
      </c>
      <c r="O8" s="96">
        <f t="shared" si="13"/>
        <v>4.1717723411949764E-2</v>
      </c>
      <c r="P8" s="95">
        <f t="shared" si="3"/>
        <v>0.25268623642288768</v>
      </c>
      <c r="Q8" s="95">
        <f t="shared" si="4"/>
        <v>0.67566991086615547</v>
      </c>
      <c r="R8" s="97">
        <v>16</v>
      </c>
      <c r="S8" s="97">
        <v>8047</v>
      </c>
      <c r="T8" s="98">
        <f>VLOOKUP(S8,'Mission Params'!$A$30:$F$41,3)</f>
        <v>0.32500000000000001</v>
      </c>
      <c r="U8" s="87">
        <f>VLOOKUP(S8,'Mission Params'!$A$30:$F$41,4)</f>
        <v>3068</v>
      </c>
      <c r="V8" s="87">
        <f>VLOOKUP(S8,'Mission Params'!$A$30:$F$41,5)</f>
        <v>0.60699999999999998</v>
      </c>
      <c r="W8" s="87">
        <f>VLOOKUP(S8,'Mission Params'!$A$30:$F$41,6)</f>
        <v>0.17473844562969632</v>
      </c>
      <c r="X8" s="97">
        <f t="shared" si="5"/>
        <v>14999.040247960786</v>
      </c>
    </row>
    <row r="9" spans="1:24" s="85" customFormat="1" x14ac:dyDescent="0.25">
      <c r="A9" s="85" t="s">
        <v>54</v>
      </c>
      <c r="B9" s="35">
        <f t="shared" si="6"/>
        <v>128.75200000000001</v>
      </c>
      <c r="C9" s="35">
        <f t="shared" si="7"/>
        <v>32.188000000000002</v>
      </c>
      <c r="D9" s="99">
        <f t="shared" si="8"/>
        <v>5.2</v>
      </c>
      <c r="E9" s="100">
        <f t="shared" si="9"/>
        <v>0.60699999999999998</v>
      </c>
      <c r="F9" s="29">
        <f t="shared" si="10"/>
        <v>3068</v>
      </c>
      <c r="G9" s="101">
        <v>2120.3850000000002</v>
      </c>
      <c r="H9" s="99">
        <v>2379.1351239803926</v>
      </c>
      <c r="I9" s="102">
        <v>4000</v>
      </c>
      <c r="J9" s="103">
        <f t="shared" si="11"/>
        <v>8499.5201239803937</v>
      </c>
      <c r="K9" s="99">
        <f t="shared" si="12"/>
        <v>3669.3396526441006</v>
      </c>
      <c r="L9" s="104">
        <f t="shared" si="0"/>
        <v>12168.859776624495</v>
      </c>
      <c r="M9" s="13">
        <f t="shared" si="1"/>
        <v>0.19551011086104716</v>
      </c>
      <c r="N9" s="13">
        <f t="shared" si="2"/>
        <v>0.20611962319922719</v>
      </c>
      <c r="O9" s="105">
        <f t="shared" si="13"/>
        <v>-1.0609512338180027E-2</v>
      </c>
      <c r="P9" s="13">
        <f t="shared" si="3"/>
        <v>0.22634750429676592</v>
      </c>
      <c r="Q9" s="13">
        <f t="shared" si="4"/>
        <v>0.70947643495336843</v>
      </c>
      <c r="R9" s="106">
        <v>16</v>
      </c>
      <c r="S9" s="106">
        <v>8047</v>
      </c>
      <c r="T9" s="107">
        <f>VLOOKUP(S9,'Mission Params'!$A$30:$F$41,3)</f>
        <v>0.32500000000000001</v>
      </c>
      <c r="U9" s="85">
        <f>VLOOKUP(S9,'Mission Params'!$A$30:$F$41,4)</f>
        <v>3068</v>
      </c>
      <c r="V9" s="85">
        <f>VLOOKUP(S9,'Mission Params'!$A$30:$F$41,5)</f>
        <v>0.60699999999999998</v>
      </c>
      <c r="W9" s="85">
        <f>VLOOKUP(S9,'Mission Params'!$A$30:$F$41,6)</f>
        <v>0.17473844562969632</v>
      </c>
      <c r="X9" s="106">
        <f t="shared" si="5"/>
        <v>20999.040247960787</v>
      </c>
    </row>
    <row r="10" spans="1:24" s="68" customFormat="1" ht="15.75" thickBot="1" x14ac:dyDescent="0.3">
      <c r="A10" s="68" t="s">
        <v>54</v>
      </c>
      <c r="B10" s="69">
        <f t="shared" si="6"/>
        <v>128.75200000000001</v>
      </c>
      <c r="C10" s="69">
        <f t="shared" si="7"/>
        <v>32.188000000000002</v>
      </c>
      <c r="D10" s="69">
        <f t="shared" ref="D10" si="29">T10*R10</f>
        <v>5.2</v>
      </c>
      <c r="E10" s="70">
        <f t="shared" ref="E10" si="30">V10</f>
        <v>0.60699999999999998</v>
      </c>
      <c r="F10" s="71">
        <f t="shared" ref="F10" si="31">U10</f>
        <v>3068</v>
      </c>
      <c r="G10" s="72">
        <v>2120.3850000000002</v>
      </c>
      <c r="H10" s="69">
        <v>2379.1351239803926</v>
      </c>
      <c r="I10" s="86">
        <v>8000</v>
      </c>
      <c r="J10" s="73">
        <f t="shared" ref="J10" si="32">SUM(G10:I10)</f>
        <v>12499.520123980394</v>
      </c>
      <c r="K10" s="69">
        <f t="shared" si="12"/>
        <v>5766.2010002004563</v>
      </c>
      <c r="L10" s="74">
        <f t="shared" si="0"/>
        <v>18265.721124180851</v>
      </c>
      <c r="M10" s="75">
        <f t="shared" si="1"/>
        <v>0.1302513658128068</v>
      </c>
      <c r="N10" s="75">
        <f t="shared" ref="N10" si="33">Q10*(1-Q10)</f>
        <v>0.18503923926356844</v>
      </c>
      <c r="O10" s="76">
        <f t="shared" ref="O10" si="34">(M10-N10)</f>
        <v>-5.4787873450761637E-2</v>
      </c>
      <c r="P10" s="75">
        <f t="shared" si="3"/>
        <v>0.1909781610009052</v>
      </c>
      <c r="Q10" s="75">
        <f t="shared" si="4"/>
        <v>0.75487400953496919</v>
      </c>
      <c r="R10" s="77">
        <v>16</v>
      </c>
      <c r="S10" s="77">
        <v>8047</v>
      </c>
      <c r="T10" s="78">
        <f>VLOOKUP(S10,'Mission Params'!$A$30:$F$41,3)</f>
        <v>0.32500000000000001</v>
      </c>
      <c r="U10" s="68">
        <f>VLOOKUP(S10,'Mission Params'!$A$30:$F$41,4)</f>
        <v>3068</v>
      </c>
      <c r="V10" s="68">
        <f>VLOOKUP(S10,'Mission Params'!$A$30:$F$41,5)</f>
        <v>0.60699999999999998</v>
      </c>
      <c r="W10" s="68">
        <f>VLOOKUP(S10,'Mission Params'!$A$30:$F$41,6)</f>
        <v>0.17473844562969632</v>
      </c>
      <c r="X10" s="77">
        <f t="shared" ref="X10" si="35">(I10+2*J10)</f>
        <v>32999.040247960787</v>
      </c>
    </row>
    <row r="11" spans="1:24" s="108" customFormat="1" x14ac:dyDescent="0.25">
      <c r="A11" s="108" t="s">
        <v>51</v>
      </c>
      <c r="B11" s="35">
        <f t="shared" si="6"/>
        <v>146.01599999999999</v>
      </c>
      <c r="C11" s="35">
        <f t="shared" si="7"/>
        <v>18.251999999999999</v>
      </c>
      <c r="D11" s="88">
        <f t="shared" si="8"/>
        <v>5.5039999999999996</v>
      </c>
      <c r="E11" s="89">
        <f t="shared" si="9"/>
        <v>0.59199999999999997</v>
      </c>
      <c r="F11" s="90">
        <f t="shared" si="10"/>
        <v>3203</v>
      </c>
      <c r="G11" s="109">
        <v>3090.41</v>
      </c>
      <c r="H11" s="109">
        <v>2936.844979464986</v>
      </c>
      <c r="I11" s="92">
        <v>4000</v>
      </c>
      <c r="J11" s="93">
        <f>SUM(G11:I11)</f>
        <v>10027.254979464986</v>
      </c>
      <c r="K11" s="88">
        <f t="shared" si="12"/>
        <v>4012.0907376211931</v>
      </c>
      <c r="L11" s="94">
        <f t="shared" ref="L11:L18" si="36">SUM(J11,K11)</f>
        <v>14039.345717086178</v>
      </c>
      <c r="M11" s="110">
        <f>H11/L11</f>
        <v>0.20918674122333095</v>
      </c>
      <c r="N11" s="110">
        <f t="shared" ref="N11:N18" si="37">Q11*(1-Q11)</f>
        <v>0.20560915570557373</v>
      </c>
      <c r="O11" s="96">
        <f t="shared" ref="O11:O18" si="38">ABS(M11-N11)</f>
        <v>3.5775855177572202E-3</v>
      </c>
      <c r="P11" s="95">
        <f t="shared" ref="P11:P18" si="39">SQRT(E11*H11*(1/J11 - 1/L11))</f>
        <v>0.2225985210286428</v>
      </c>
      <c r="Q11" s="95">
        <f t="shared" ref="Q11:Q18" si="40">1-(P11/SQRT(E11))</f>
        <v>0.71069134840905612</v>
      </c>
      <c r="R11" s="111">
        <v>32</v>
      </c>
      <c r="S11" s="111">
        <v>4563</v>
      </c>
      <c r="T11" s="98">
        <f>VLOOKUP(S11,'Mission Params'!$A$30:$F$41,3)</f>
        <v>0.17199999999999999</v>
      </c>
      <c r="U11" s="87">
        <f>VLOOKUP(S11,'Mission Params'!$A$30:$F$41,4)</f>
        <v>3203</v>
      </c>
      <c r="V11" s="87">
        <f>VLOOKUP(S11,'Mission Params'!$A$30:$F$41,5)</f>
        <v>0.59199999999999997</v>
      </c>
      <c r="W11" s="87">
        <f>VLOOKUP(S11,'Mission Params'!$A$30:$F$41,6)</f>
        <v>0.16679162221435107</v>
      </c>
      <c r="X11" s="97">
        <f t="shared" ref="X11:X18" si="41">(I11+2*J11)</f>
        <v>24054.509958929972</v>
      </c>
    </row>
    <row r="12" spans="1:24" s="15" customFormat="1" x14ac:dyDescent="0.25">
      <c r="A12" s="15" t="s">
        <v>51</v>
      </c>
      <c r="B12" s="35">
        <f t="shared" si="6"/>
        <v>146.01599999999999</v>
      </c>
      <c r="C12" s="35">
        <f t="shared" si="7"/>
        <v>18.251999999999999</v>
      </c>
      <c r="D12" s="99">
        <f t="shared" si="8"/>
        <v>5.5039999999999996</v>
      </c>
      <c r="E12" s="100">
        <f t="shared" si="9"/>
        <v>0.59199999999999997</v>
      </c>
      <c r="F12" s="29">
        <f t="shared" si="10"/>
        <v>3203</v>
      </c>
      <c r="G12" s="112">
        <v>3090.41</v>
      </c>
      <c r="H12" s="112">
        <v>2936.844979464986</v>
      </c>
      <c r="I12" s="102">
        <v>8000</v>
      </c>
      <c r="J12" s="103">
        <f t="shared" ref="J12" si="42">SUM(G12:I12)</f>
        <v>14027.254979464986</v>
      </c>
      <c r="K12" s="99">
        <f t="shared" si="12"/>
        <v>6013.590204193406</v>
      </c>
      <c r="L12" s="104">
        <f t="shared" si="36"/>
        <v>20040.845183658392</v>
      </c>
      <c r="M12" s="39">
        <f t="shared" ref="M12" si="43">H12/L12</f>
        <v>0.14654297024657092</v>
      </c>
      <c r="N12" s="39">
        <f t="shared" si="37"/>
        <v>0.18782324062646133</v>
      </c>
      <c r="O12" s="105">
        <f t="shared" si="38"/>
        <v>4.1280270379890405E-2</v>
      </c>
      <c r="P12" s="13">
        <f t="shared" si="39"/>
        <v>0.19285189802860692</v>
      </c>
      <c r="Q12" s="13">
        <f t="shared" si="40"/>
        <v>0.74935268070253158</v>
      </c>
      <c r="R12" s="113">
        <v>32</v>
      </c>
      <c r="S12" s="113">
        <v>4563</v>
      </c>
      <c r="T12" s="107">
        <f>VLOOKUP(S12,'Mission Params'!$A$30:$F$41,3)</f>
        <v>0.17199999999999999</v>
      </c>
      <c r="U12" s="85">
        <f>VLOOKUP(S12,'Mission Params'!$A$30:$F$41,4)</f>
        <v>3203</v>
      </c>
      <c r="V12" s="85">
        <f>VLOOKUP(S12,'Mission Params'!$A$30:$F$41,5)</f>
        <v>0.59199999999999997</v>
      </c>
      <c r="W12" s="85">
        <f>VLOOKUP(S12,'Mission Params'!$A$30:$F$41,6)</f>
        <v>0.16679162221435107</v>
      </c>
      <c r="X12" s="106">
        <f t="shared" si="41"/>
        <v>36054.509958929972</v>
      </c>
    </row>
    <row r="13" spans="1:24" s="79" customFormat="1" ht="15.75" thickBot="1" x14ac:dyDescent="0.3">
      <c r="A13" s="79" t="s">
        <v>51</v>
      </c>
      <c r="B13" s="69">
        <f t="shared" si="6"/>
        <v>146.01599999999999</v>
      </c>
      <c r="C13" s="69">
        <f t="shared" si="7"/>
        <v>18.251999999999999</v>
      </c>
      <c r="D13" s="69">
        <f t="shared" ref="D13" si="44">T13*R13</f>
        <v>5.5039999999999996</v>
      </c>
      <c r="E13" s="70">
        <f t="shared" ref="E13" si="45">V13</f>
        <v>0.59199999999999997</v>
      </c>
      <c r="F13" s="71">
        <f t="shared" ref="F13" si="46">U13</f>
        <v>3203</v>
      </c>
      <c r="G13" s="80">
        <v>3090.41</v>
      </c>
      <c r="H13" s="80">
        <v>2936.844979464986</v>
      </c>
      <c r="I13" s="86">
        <v>12000</v>
      </c>
      <c r="J13" s="73">
        <f t="shared" ref="J13" si="47">SUM(G13:I13)</f>
        <v>18027.254979464986</v>
      </c>
      <c r="K13" s="69">
        <f t="shared" si="12"/>
        <v>8015.0896707656184</v>
      </c>
      <c r="L13" s="74">
        <f t="shared" ref="L13" si="48">SUM(J13,K13)</f>
        <v>26042.344650230603</v>
      </c>
      <c r="M13" s="81">
        <f t="shared" ref="M13" si="49">H13/L13</f>
        <v>0.11277191124336727</v>
      </c>
      <c r="N13" s="81">
        <f t="shared" ref="N13" si="50">Q13*(1-Q13)</f>
        <v>0.17377897297333042</v>
      </c>
      <c r="O13" s="76">
        <f t="shared" ref="O13" si="51">ABS(M13-N13)</f>
        <v>6.1007061729963147E-2</v>
      </c>
      <c r="P13" s="75">
        <f t="shared" ref="P13" si="52">SQRT(E13*H13*(1/J13 - 1/L13))</f>
        <v>0.17228628871424495</v>
      </c>
      <c r="Q13" s="75">
        <f t="shared" ref="Q13" si="53">1-(P13/SQRT(E13))</f>
        <v>0.77608155865010175</v>
      </c>
      <c r="R13" s="82">
        <v>32</v>
      </c>
      <c r="S13" s="82">
        <v>4563</v>
      </c>
      <c r="T13" s="78">
        <f>VLOOKUP(S13,'Mission Params'!$A$30:$F$41,3)</f>
        <v>0.17199999999999999</v>
      </c>
      <c r="U13" s="68">
        <f>VLOOKUP(S13,'Mission Params'!$A$30:$F$41,4)</f>
        <v>3203</v>
      </c>
      <c r="V13" s="68">
        <f>VLOOKUP(S13,'Mission Params'!$A$30:$F$41,5)</f>
        <v>0.59199999999999997</v>
      </c>
      <c r="W13" s="68">
        <f>VLOOKUP(S13,'Mission Params'!$A$30:$F$41,6)</f>
        <v>0.16679162221435107</v>
      </c>
      <c r="X13" s="77">
        <f t="shared" ref="X13" si="54">(I13+2*J13)</f>
        <v>48054.509958929972</v>
      </c>
    </row>
    <row r="14" spans="1:24" s="108" customFormat="1" x14ac:dyDescent="0.25">
      <c r="A14" s="108" t="s">
        <v>59</v>
      </c>
      <c r="B14" s="35">
        <f t="shared" si="6"/>
        <v>202.94400000000002</v>
      </c>
      <c r="C14" s="35">
        <f t="shared" si="7"/>
        <v>25.368000000000002</v>
      </c>
      <c r="D14" s="88">
        <f t="shared" si="8"/>
        <v>7.6159999999999997</v>
      </c>
      <c r="E14" s="89">
        <f t="shared" si="9"/>
        <v>0.57999999999999996</v>
      </c>
      <c r="F14" s="90">
        <f t="shared" si="10"/>
        <v>3152</v>
      </c>
      <c r="G14" s="109">
        <v>3126</v>
      </c>
      <c r="H14" s="109">
        <v>3967</v>
      </c>
      <c r="I14" s="92">
        <v>4000</v>
      </c>
      <c r="J14" s="114">
        <f>SUM(G14:I14)</f>
        <v>11093</v>
      </c>
      <c r="K14" s="88">
        <f t="shared" si="12"/>
        <v>4443.9600888637651</v>
      </c>
      <c r="L14" s="94">
        <f t="shared" si="36"/>
        <v>15536.960088863765</v>
      </c>
      <c r="M14" s="110">
        <f>H14/L14</f>
        <v>0.25532665188754505</v>
      </c>
      <c r="N14" s="110">
        <f t="shared" si="37"/>
        <v>0.21753597026940708</v>
      </c>
      <c r="O14" s="96">
        <f t="shared" si="38"/>
        <v>3.7790681618137978E-2</v>
      </c>
      <c r="P14" s="95">
        <f t="shared" si="39"/>
        <v>0.24356935182701434</v>
      </c>
      <c r="Q14" s="95">
        <f t="shared" si="40"/>
        <v>0.6801777725764</v>
      </c>
      <c r="R14" s="111">
        <v>32</v>
      </c>
      <c r="S14" s="97">
        <v>6342</v>
      </c>
      <c r="T14" s="98">
        <f>VLOOKUP(S14,'Mission Params'!$A$30:$F$41,3)</f>
        <v>0.23799999999999999</v>
      </c>
      <c r="U14" s="87">
        <f>VLOOKUP(S14,'Mission Params'!$A$30:$F$41,4)</f>
        <v>3152</v>
      </c>
      <c r="V14" s="87">
        <f>VLOOKUP(S14,'Mission Params'!$A$30:$F$41,5)</f>
        <v>0.57999999999999996</v>
      </c>
      <c r="W14" s="87">
        <f>VLOOKUP(S14,'Mission Params'!$A$30:$F$41,6)</f>
        <v>0.16970748067149488</v>
      </c>
      <c r="X14" s="87">
        <f t="shared" si="41"/>
        <v>26186</v>
      </c>
    </row>
    <row r="15" spans="1:24" s="15" customFormat="1" x14ac:dyDescent="0.25">
      <c r="A15" s="15" t="s">
        <v>59</v>
      </c>
      <c r="B15" s="35">
        <f t="shared" si="6"/>
        <v>202.94400000000002</v>
      </c>
      <c r="C15" s="35">
        <f t="shared" si="7"/>
        <v>25.368000000000002</v>
      </c>
      <c r="D15" s="99">
        <f t="shared" si="8"/>
        <v>7.6159999999999997</v>
      </c>
      <c r="E15" s="100">
        <f t="shared" si="9"/>
        <v>0.57999999999999996</v>
      </c>
      <c r="F15" s="29">
        <f t="shared" si="10"/>
        <v>3152</v>
      </c>
      <c r="G15" s="112">
        <v>3126</v>
      </c>
      <c r="H15" s="112">
        <v>3967</v>
      </c>
      <c r="I15" s="102">
        <v>8000</v>
      </c>
      <c r="J15" s="115">
        <f t="shared" ref="J15:J16" si="55">SUM(G15:I15)</f>
        <v>15093</v>
      </c>
      <c r="K15" s="99">
        <f t="shared" si="12"/>
        <v>6480.4498569217039</v>
      </c>
      <c r="L15" s="104">
        <f t="shared" si="36"/>
        <v>21573.449856921703</v>
      </c>
      <c r="M15" s="39">
        <f t="shared" ref="M15:M16" si="56">H15/L15</f>
        <v>0.18388343201063012</v>
      </c>
      <c r="N15" s="39">
        <f t="shared" si="37"/>
        <v>0.20203326733508686</v>
      </c>
      <c r="O15" s="105">
        <f t="shared" si="38"/>
        <v>1.8149835324456742E-2</v>
      </c>
      <c r="P15" s="13">
        <f t="shared" si="39"/>
        <v>0.2139932568385329</v>
      </c>
      <c r="Q15" s="13">
        <f t="shared" si="40"/>
        <v>0.71901308788497809</v>
      </c>
      <c r="R15" s="113">
        <v>32</v>
      </c>
      <c r="S15" s="106">
        <v>6342</v>
      </c>
      <c r="T15" s="107">
        <f>VLOOKUP(S15,'Mission Params'!$A$30:$F$41,3)</f>
        <v>0.23799999999999999</v>
      </c>
      <c r="U15" s="85">
        <f>VLOOKUP(S15,'Mission Params'!$A$30:$F$41,4)</f>
        <v>3152</v>
      </c>
      <c r="V15" s="85">
        <f>VLOOKUP(S15,'Mission Params'!$A$30:$F$41,5)</f>
        <v>0.57999999999999996</v>
      </c>
      <c r="W15" s="85">
        <f>VLOOKUP(S15,'Mission Params'!$A$30:$F$41,6)</f>
        <v>0.16970748067149488</v>
      </c>
      <c r="X15" s="85">
        <f t="shared" si="41"/>
        <v>38186</v>
      </c>
    </row>
    <row r="16" spans="1:24" s="79" customFormat="1" ht="15.75" thickBot="1" x14ac:dyDescent="0.3">
      <c r="A16" s="79" t="s">
        <v>59</v>
      </c>
      <c r="B16" s="69">
        <f t="shared" si="6"/>
        <v>202.94400000000002</v>
      </c>
      <c r="C16" s="69">
        <f t="shared" si="7"/>
        <v>25.368000000000002</v>
      </c>
      <c r="D16" s="69">
        <f t="shared" si="8"/>
        <v>7.6159999999999997</v>
      </c>
      <c r="E16" s="70">
        <f t="shared" si="9"/>
        <v>0.57999999999999996</v>
      </c>
      <c r="F16" s="71">
        <f t="shared" si="10"/>
        <v>3152</v>
      </c>
      <c r="G16" s="80">
        <v>3126</v>
      </c>
      <c r="H16" s="80">
        <v>3967</v>
      </c>
      <c r="I16" s="86">
        <v>12000</v>
      </c>
      <c r="J16" s="83">
        <f t="shared" si="55"/>
        <v>19093</v>
      </c>
      <c r="K16" s="69">
        <f t="shared" si="12"/>
        <v>8516.9396249796428</v>
      </c>
      <c r="L16" s="74">
        <f t="shared" si="36"/>
        <v>27609.939624979641</v>
      </c>
      <c r="M16" s="81">
        <f t="shared" si="56"/>
        <v>0.14368014033652293</v>
      </c>
      <c r="N16" s="81">
        <f t="shared" si="37"/>
        <v>0.18907231166283575</v>
      </c>
      <c r="O16" s="76">
        <f t="shared" si="38"/>
        <v>4.5392171326312819E-2</v>
      </c>
      <c r="P16" s="75">
        <f t="shared" si="39"/>
        <v>0.19280445586261755</v>
      </c>
      <c r="Q16" s="75">
        <f t="shared" si="40"/>
        <v>0.74683534661219864</v>
      </c>
      <c r="R16" s="82">
        <v>32</v>
      </c>
      <c r="S16" s="77">
        <v>6342</v>
      </c>
      <c r="T16" s="78">
        <f>VLOOKUP(S16,'Mission Params'!$A$30:$F$41,3)</f>
        <v>0.23799999999999999</v>
      </c>
      <c r="U16" s="68">
        <f>VLOOKUP(S16,'Mission Params'!$A$30:$F$41,4)</f>
        <v>3152</v>
      </c>
      <c r="V16" s="68">
        <f>VLOOKUP(S16,'Mission Params'!$A$30:$F$41,5)</f>
        <v>0.57999999999999996</v>
      </c>
      <c r="W16" s="68">
        <f>VLOOKUP(S16,'Mission Params'!$A$30:$F$41,6)</f>
        <v>0.16970748067149488</v>
      </c>
      <c r="X16" s="68">
        <f t="shared" si="41"/>
        <v>50186</v>
      </c>
    </row>
    <row r="17" spans="1:24" s="108" customFormat="1" x14ac:dyDescent="0.25">
      <c r="A17" s="108" t="s">
        <v>55</v>
      </c>
      <c r="B17" s="35">
        <f t="shared" si="6"/>
        <v>257.50400000000002</v>
      </c>
      <c r="C17" s="35">
        <f t="shared" si="7"/>
        <v>32.188000000000002</v>
      </c>
      <c r="D17" s="88">
        <f t="shared" si="8"/>
        <v>10.4</v>
      </c>
      <c r="E17" s="89">
        <f t="shared" si="9"/>
        <v>0.60699999999999998</v>
      </c>
      <c r="F17" s="90">
        <f t="shared" si="10"/>
        <v>3068</v>
      </c>
      <c r="G17" s="109">
        <v>3180</v>
      </c>
      <c r="H17" s="109">
        <v>5673</v>
      </c>
      <c r="I17" s="92">
        <v>4000</v>
      </c>
      <c r="J17" s="114">
        <f>SUM(G17:I17)</f>
        <v>12853</v>
      </c>
      <c r="K17" s="88">
        <f t="shared" si="12"/>
        <v>5190.7802658757591</v>
      </c>
      <c r="L17" s="94">
        <f t="shared" si="36"/>
        <v>18043.780265875757</v>
      </c>
      <c r="M17" s="110">
        <f>H17/L17</f>
        <v>0.31440196657286551</v>
      </c>
      <c r="N17" s="110">
        <f t="shared" si="37"/>
        <v>0.22935994667588452</v>
      </c>
      <c r="O17" s="96">
        <f t="shared" si="38"/>
        <v>8.5042019896980986E-2</v>
      </c>
      <c r="P17" s="95">
        <f t="shared" si="39"/>
        <v>0.27762018618584111</v>
      </c>
      <c r="Q17" s="95">
        <f t="shared" si="40"/>
        <v>0.64366646555169194</v>
      </c>
      <c r="R17" s="111">
        <v>32</v>
      </c>
      <c r="S17" s="97">
        <v>8047</v>
      </c>
      <c r="T17" s="98">
        <f>VLOOKUP(S17,'Mission Params'!$A$30:$F$41,3)</f>
        <v>0.32500000000000001</v>
      </c>
      <c r="U17" s="87">
        <f>VLOOKUP(S17,'Mission Params'!$A$30:$F$41,4)</f>
        <v>3068</v>
      </c>
      <c r="V17" s="87">
        <f>VLOOKUP(S17,'Mission Params'!$A$30:$F$41,5)</f>
        <v>0.60699999999999998</v>
      </c>
      <c r="W17" s="87">
        <f>VLOOKUP(S17,'Mission Params'!$A$30:$F$41,6)</f>
        <v>0.17473844562969632</v>
      </c>
      <c r="X17" s="87">
        <f t="shared" si="41"/>
        <v>29706</v>
      </c>
    </row>
    <row r="18" spans="1:24" s="15" customFormat="1" x14ac:dyDescent="0.25">
      <c r="A18" s="15" t="s">
        <v>55</v>
      </c>
      <c r="B18" s="35">
        <f t="shared" si="6"/>
        <v>257.50400000000002</v>
      </c>
      <c r="C18" s="35">
        <f t="shared" si="7"/>
        <v>32.188000000000002</v>
      </c>
      <c r="D18" s="99">
        <f t="shared" si="8"/>
        <v>10.4</v>
      </c>
      <c r="E18" s="100">
        <f t="shared" si="9"/>
        <v>0.60699999999999998</v>
      </c>
      <c r="F18" s="29">
        <f t="shared" si="10"/>
        <v>3068</v>
      </c>
      <c r="G18" s="112">
        <v>3180</v>
      </c>
      <c r="H18" s="112">
        <v>5673</v>
      </c>
      <c r="I18" s="102">
        <v>8000</v>
      </c>
      <c r="J18" s="116">
        <f t="shared" ref="J18" si="57">SUM(G18:I18)</f>
        <v>16853</v>
      </c>
      <c r="K18" s="99">
        <f t="shared" si="12"/>
        <v>7287.6416134321144</v>
      </c>
      <c r="L18" s="104">
        <f t="shared" si="36"/>
        <v>24140.641613432115</v>
      </c>
      <c r="M18" s="39">
        <f t="shared" ref="M18" si="58">H18/L18</f>
        <v>0.23499789652829614</v>
      </c>
      <c r="N18" s="39">
        <f t="shared" si="37"/>
        <v>0.2171581980421764</v>
      </c>
      <c r="O18" s="105">
        <f t="shared" si="38"/>
        <v>1.7839698486119743E-2</v>
      </c>
      <c r="P18" s="13">
        <f t="shared" si="39"/>
        <v>0.24835975692964285</v>
      </c>
      <c r="Q18" s="13">
        <f t="shared" si="40"/>
        <v>0.6812230723661411</v>
      </c>
      <c r="R18" s="113">
        <v>32</v>
      </c>
      <c r="S18" s="106">
        <v>8047</v>
      </c>
      <c r="T18" s="107">
        <f>VLOOKUP(S18,'Mission Params'!$A$30:$F$41,3)</f>
        <v>0.32500000000000001</v>
      </c>
      <c r="U18" s="85">
        <f>VLOOKUP(S18,'Mission Params'!$A$30:$F$41,4)</f>
        <v>3068</v>
      </c>
      <c r="V18" s="85">
        <f>VLOOKUP(S18,'Mission Params'!$A$30:$F$41,5)</f>
        <v>0.60699999999999998</v>
      </c>
      <c r="W18" s="85">
        <f>VLOOKUP(S18,'Mission Params'!$A$30:$F$41,6)</f>
        <v>0.17473844562969632</v>
      </c>
      <c r="X18" s="85">
        <f t="shared" si="41"/>
        <v>41706</v>
      </c>
    </row>
    <row r="19" spans="1:24" s="79" customFormat="1" ht="15.75" thickBot="1" x14ac:dyDescent="0.3">
      <c r="A19" s="79" t="s">
        <v>55</v>
      </c>
      <c r="B19" s="69">
        <f t="shared" si="6"/>
        <v>257.50400000000002</v>
      </c>
      <c r="C19" s="69">
        <f t="shared" si="7"/>
        <v>32.188000000000002</v>
      </c>
      <c r="D19" s="69">
        <f t="shared" ref="D19" si="59">T19*R19</f>
        <v>10.4</v>
      </c>
      <c r="E19" s="70">
        <f t="shared" ref="E19" si="60">V19</f>
        <v>0.60699999999999998</v>
      </c>
      <c r="F19" s="71">
        <f t="shared" ref="F19" si="61">U19</f>
        <v>3068</v>
      </c>
      <c r="G19" s="80">
        <v>3180</v>
      </c>
      <c r="H19" s="80">
        <v>5673</v>
      </c>
      <c r="I19" s="86">
        <v>12000</v>
      </c>
      <c r="J19" s="84">
        <f t="shared" ref="J19" si="62">SUM(G19:I19)</f>
        <v>20853</v>
      </c>
      <c r="K19" s="69">
        <f t="shared" si="12"/>
        <v>9384.5029609884696</v>
      </c>
      <c r="L19" s="74">
        <f t="shared" ref="L19" si="63">SUM(J19,K19)</f>
        <v>30237.50296098847</v>
      </c>
      <c r="M19" s="81">
        <f t="shared" ref="M19" si="64">H19/L19</f>
        <v>0.18761469845308115</v>
      </c>
      <c r="N19" s="81">
        <f t="shared" ref="N19" si="65">Q19*(1-Q19)</f>
        <v>0.20614020242302669</v>
      </c>
      <c r="O19" s="76">
        <f t="shared" ref="O19" si="66">ABS(M19-N19)</f>
        <v>1.8525503969945539E-2</v>
      </c>
      <c r="P19" s="75">
        <f t="shared" ref="P19" si="67">SQRT(E19*H19*(1/J19 - 1/L19))</f>
        <v>0.22638577875871646</v>
      </c>
      <c r="Q19" s="75">
        <f t="shared" ref="Q19" si="68">1-(P19/SQRT(E19))</f>
        <v>0.70942730857501202</v>
      </c>
      <c r="R19" s="82">
        <v>32</v>
      </c>
      <c r="S19" s="77">
        <v>8047</v>
      </c>
      <c r="T19" s="78">
        <f>VLOOKUP(S19,'Mission Params'!$A$30:$F$41,3)</f>
        <v>0.32500000000000001</v>
      </c>
      <c r="U19" s="68">
        <f>VLOOKUP(S19,'Mission Params'!$A$30:$F$41,4)</f>
        <v>3068</v>
      </c>
      <c r="V19" s="68">
        <f>VLOOKUP(S19,'Mission Params'!$A$30:$F$41,5)</f>
        <v>0.60699999999999998</v>
      </c>
      <c r="W19" s="68">
        <f>VLOOKUP(S19,'Mission Params'!$A$30:$F$41,6)</f>
        <v>0.17473844562969632</v>
      </c>
      <c r="X19" s="68">
        <f t="shared" ref="X19" si="69">(I19+2*J19)</f>
        <v>53706</v>
      </c>
    </row>
    <row r="20" spans="1:24" s="87" customFormat="1" x14ac:dyDescent="0.25">
      <c r="A20" s="108" t="s">
        <v>52</v>
      </c>
      <c r="B20" s="35">
        <f t="shared" si="6"/>
        <v>219.024</v>
      </c>
      <c r="C20" s="35">
        <f t="shared" si="7"/>
        <v>18.251999999999999</v>
      </c>
      <c r="D20" s="88">
        <f t="shared" si="8"/>
        <v>8.2560000000000002</v>
      </c>
      <c r="E20" s="89">
        <f t="shared" si="9"/>
        <v>0.59199999999999997</v>
      </c>
      <c r="F20" s="90">
        <f t="shared" si="10"/>
        <v>3203</v>
      </c>
      <c r="G20" s="109">
        <v>4096</v>
      </c>
      <c r="H20" s="109">
        <v>4617</v>
      </c>
      <c r="I20" s="92">
        <v>8000</v>
      </c>
      <c r="J20" s="93">
        <f>SUM(G20:I20)</f>
        <v>16713</v>
      </c>
      <c r="K20" s="88">
        <f t="shared" si="12"/>
        <v>6909.5097418517071</v>
      </c>
      <c r="L20" s="94">
        <f t="shared" ref="L20:L31" si="70">SUM(J20,K20)</f>
        <v>23622.509741851707</v>
      </c>
      <c r="M20" s="110">
        <f>H20/L20</f>
        <v>0.19544917328661818</v>
      </c>
      <c r="N20" s="110">
        <f t="shared" ref="N20:N31" si="71">Q20*(1-Q20)</f>
        <v>0.20345556819899532</v>
      </c>
      <c r="O20" s="96">
        <f t="shared" ref="O20:O31" si="72">ABS(M20-N20)</f>
        <v>8.0063949123771461E-3</v>
      </c>
      <c r="P20" s="95">
        <f t="shared" ref="P20:P31" si="73">SQRT(E20*H20*(1/J20 - 1/L20))</f>
        <v>0.21871279087172099</v>
      </c>
      <c r="Q20" s="95">
        <f t="shared" ref="Q20:Q31" si="74">1-(P20/SQRT(E20))</f>
        <v>0.71574158570151625</v>
      </c>
      <c r="R20" s="97">
        <v>48</v>
      </c>
      <c r="S20" s="111">
        <v>4563</v>
      </c>
      <c r="T20" s="98">
        <f>VLOOKUP(S20,'Mission Params'!$A$30:$F$41,3)</f>
        <v>0.17199999999999999</v>
      </c>
      <c r="U20" s="87">
        <f>VLOOKUP(S20,'Mission Params'!$A$30:$F$41,4)</f>
        <v>3203</v>
      </c>
      <c r="V20" s="87">
        <f>VLOOKUP(S20,'Mission Params'!$A$30:$F$41,5)</f>
        <v>0.59199999999999997</v>
      </c>
      <c r="W20" s="87">
        <f>VLOOKUP(S20,'Mission Params'!$A$30:$F$41,6)</f>
        <v>0.16679162221435107</v>
      </c>
      <c r="X20" s="87">
        <f t="shared" ref="X20:X31" si="75">(I20+2*J20)</f>
        <v>41426</v>
      </c>
    </row>
    <row r="21" spans="1:24" s="15" customFormat="1" x14ac:dyDescent="0.25">
      <c r="A21" s="15" t="s">
        <v>52</v>
      </c>
      <c r="B21" s="35">
        <f t="shared" si="6"/>
        <v>219.024</v>
      </c>
      <c r="C21" s="35">
        <f t="shared" si="7"/>
        <v>18.251999999999999</v>
      </c>
      <c r="D21" s="99">
        <f t="shared" si="8"/>
        <v>8.2560000000000002</v>
      </c>
      <c r="E21" s="100">
        <f t="shared" si="9"/>
        <v>0.59199999999999997</v>
      </c>
      <c r="F21" s="29">
        <f t="shared" si="10"/>
        <v>3203</v>
      </c>
      <c r="G21" s="112">
        <v>4096</v>
      </c>
      <c r="H21" s="112">
        <v>4617</v>
      </c>
      <c r="I21" s="102">
        <v>12000</v>
      </c>
      <c r="J21" s="103">
        <f>SUM(G21:I21)</f>
        <v>20713</v>
      </c>
      <c r="K21" s="99">
        <f t="shared" si="12"/>
        <v>8911.0092084239204</v>
      </c>
      <c r="L21" s="104">
        <f t="shared" si="70"/>
        <v>29624.009208423922</v>
      </c>
      <c r="M21" s="39">
        <f>H21/L21</f>
        <v>0.1558533136928375</v>
      </c>
      <c r="N21" s="39">
        <f t="shared" si="71"/>
        <v>0.19189031217979505</v>
      </c>
      <c r="O21" s="105">
        <f t="shared" si="72"/>
        <v>3.6036998486957544E-2</v>
      </c>
      <c r="P21" s="13">
        <f t="shared" si="73"/>
        <v>0.19923279023855039</v>
      </c>
      <c r="Q21" s="13">
        <f t="shared" si="74"/>
        <v>0.74105951095155931</v>
      </c>
      <c r="R21" s="106">
        <v>48</v>
      </c>
      <c r="S21" s="113">
        <v>4563</v>
      </c>
      <c r="T21" s="107">
        <f>VLOOKUP(S21,'Mission Params'!$A$30:$F$41,3)</f>
        <v>0.17199999999999999</v>
      </c>
      <c r="U21" s="85">
        <f>VLOOKUP(S21,'Mission Params'!$A$30:$F$41,4)</f>
        <v>3203</v>
      </c>
      <c r="V21" s="85">
        <f>VLOOKUP(S21,'Mission Params'!$A$30:$F$41,5)</f>
        <v>0.59199999999999997</v>
      </c>
      <c r="W21" s="85">
        <f>VLOOKUP(S21,'Mission Params'!$A$30:$F$41,6)</f>
        <v>0.16679162221435107</v>
      </c>
      <c r="X21" s="85">
        <f t="shared" si="75"/>
        <v>53426</v>
      </c>
    </row>
    <row r="22" spans="1:24" s="15" customFormat="1" x14ac:dyDescent="0.25">
      <c r="A22" s="15" t="s">
        <v>52</v>
      </c>
      <c r="B22" s="35">
        <f t="shared" si="6"/>
        <v>219.024</v>
      </c>
      <c r="C22" s="35">
        <f t="shared" si="7"/>
        <v>18.251999999999999</v>
      </c>
      <c r="D22" s="99">
        <f t="shared" si="8"/>
        <v>8.2560000000000002</v>
      </c>
      <c r="E22" s="100">
        <f t="shared" si="9"/>
        <v>0.59199999999999997</v>
      </c>
      <c r="F22" s="29">
        <f t="shared" si="10"/>
        <v>3203</v>
      </c>
      <c r="G22" s="112">
        <v>4096</v>
      </c>
      <c r="H22" s="112">
        <v>4617</v>
      </c>
      <c r="I22" s="102">
        <v>16000</v>
      </c>
      <c r="J22" s="103">
        <f t="shared" ref="J22" si="76">SUM(G22:I22)</f>
        <v>24713</v>
      </c>
      <c r="K22" s="99">
        <f t="shared" si="12"/>
        <v>10912.508674996132</v>
      </c>
      <c r="L22" s="104">
        <f t="shared" si="70"/>
        <v>35625.508674996134</v>
      </c>
      <c r="M22" s="39">
        <f t="shared" ref="M22" si="77">H22/L22</f>
        <v>0.12959814952033105</v>
      </c>
      <c r="N22" s="39">
        <f t="shared" si="71"/>
        <v>0.18199421695273629</v>
      </c>
      <c r="O22" s="105">
        <f t="shared" si="72"/>
        <v>5.2396067432405241E-2</v>
      </c>
      <c r="P22" s="13">
        <f t="shared" si="73"/>
        <v>0.18406017049885509</v>
      </c>
      <c r="Q22" s="13">
        <f t="shared" si="74"/>
        <v>0.7607791844593117</v>
      </c>
      <c r="R22" s="106">
        <v>48</v>
      </c>
      <c r="S22" s="113">
        <v>4563</v>
      </c>
      <c r="T22" s="107">
        <f>VLOOKUP(S22,'Mission Params'!$A$30:$F$41,3)</f>
        <v>0.17199999999999999</v>
      </c>
      <c r="U22" s="85">
        <f>VLOOKUP(S22,'Mission Params'!$A$30:$F$41,4)</f>
        <v>3203</v>
      </c>
      <c r="V22" s="85">
        <f>VLOOKUP(S22,'Mission Params'!$A$30:$F$41,5)</f>
        <v>0.59199999999999997</v>
      </c>
      <c r="W22" s="85">
        <f>VLOOKUP(S22,'Mission Params'!$A$30:$F$41,6)</f>
        <v>0.16679162221435107</v>
      </c>
      <c r="X22" s="85">
        <f t="shared" si="75"/>
        <v>65426</v>
      </c>
    </row>
    <row r="23" spans="1:24" s="79" customFormat="1" ht="15.75" thickBot="1" x14ac:dyDescent="0.3">
      <c r="A23" s="79" t="s">
        <v>52</v>
      </c>
      <c r="B23" s="69">
        <f t="shared" si="6"/>
        <v>219.024</v>
      </c>
      <c r="C23" s="69">
        <f t="shared" si="7"/>
        <v>18.251999999999999</v>
      </c>
      <c r="D23" s="69">
        <f t="shared" si="8"/>
        <v>8.2560000000000002</v>
      </c>
      <c r="E23" s="70">
        <f t="shared" si="9"/>
        <v>0.59199999999999997</v>
      </c>
      <c r="F23" s="71">
        <f t="shared" si="10"/>
        <v>3203</v>
      </c>
      <c r="G23" s="80">
        <v>4096</v>
      </c>
      <c r="H23" s="80">
        <v>4617</v>
      </c>
      <c r="I23" s="86">
        <v>24000</v>
      </c>
      <c r="J23" s="73">
        <f t="shared" ref="J23" si="78">SUM(G23:I23)</f>
        <v>32713</v>
      </c>
      <c r="K23" s="69">
        <f t="shared" si="12"/>
        <v>14915.507608140559</v>
      </c>
      <c r="L23" s="74">
        <f t="shared" ref="L23" si="79">SUM(J23,K23)</f>
        <v>47628.507608140557</v>
      </c>
      <c r="M23" s="81">
        <f t="shared" ref="M23" si="80">H23/L23</f>
        <v>9.6937742370304142E-2</v>
      </c>
      <c r="N23" s="81">
        <f t="shared" si="71"/>
        <v>0.1660363186828728</v>
      </c>
      <c r="O23" s="76">
        <f t="shared" si="72"/>
        <v>6.909857631256866E-2</v>
      </c>
      <c r="P23" s="75">
        <f t="shared" ref="P23" si="81">SQRT(E23*H23*(1/J23 - 1/L23))</f>
        <v>0.16175813685232862</v>
      </c>
      <c r="Q23" s="75">
        <f t="shared" ref="Q23" si="82">1-(P23/SQRT(E23))</f>
        <v>0.78976487246926119</v>
      </c>
      <c r="R23" s="77">
        <v>48</v>
      </c>
      <c r="S23" s="82">
        <v>4563</v>
      </c>
      <c r="T23" s="78">
        <f>VLOOKUP(S23,'Mission Params'!$A$30:$F$41,3)</f>
        <v>0.17199999999999999</v>
      </c>
      <c r="U23" s="68">
        <f>VLOOKUP(S23,'Mission Params'!$A$30:$F$41,4)</f>
        <v>3203</v>
      </c>
      <c r="V23" s="68">
        <f>VLOOKUP(S23,'Mission Params'!$A$30:$F$41,5)</f>
        <v>0.59199999999999997</v>
      </c>
      <c r="W23" s="68">
        <f>VLOOKUP(S23,'Mission Params'!$A$30:$F$41,6)</f>
        <v>0.16679162221435107</v>
      </c>
      <c r="X23" s="68">
        <f t="shared" si="75"/>
        <v>89426</v>
      </c>
    </row>
    <row r="24" spans="1:24" s="108" customFormat="1" x14ac:dyDescent="0.25">
      <c r="A24" s="108" t="s">
        <v>77</v>
      </c>
      <c r="B24" s="35">
        <f t="shared" si="6"/>
        <v>304.416</v>
      </c>
      <c r="C24" s="35">
        <f t="shared" si="7"/>
        <v>25.368000000000002</v>
      </c>
      <c r="D24" s="88">
        <f t="shared" si="8"/>
        <v>11.423999999999999</v>
      </c>
      <c r="E24" s="89">
        <f t="shared" si="9"/>
        <v>0.57999999999999996</v>
      </c>
      <c r="F24" s="90">
        <f t="shared" si="10"/>
        <v>3152</v>
      </c>
      <c r="G24" s="109">
        <v>4167</v>
      </c>
      <c r="H24" s="109">
        <v>7119</v>
      </c>
      <c r="I24" s="92">
        <v>8000</v>
      </c>
      <c r="J24" s="114">
        <f>SUM(G24:I24)</f>
        <v>19286</v>
      </c>
      <c r="K24" s="88">
        <f t="shared" si="12"/>
        <v>7903.6167898328595</v>
      </c>
      <c r="L24" s="94">
        <f t="shared" si="70"/>
        <v>27189.61678983286</v>
      </c>
      <c r="M24" s="110">
        <f>H24/L24</f>
        <v>0.26182789022102143</v>
      </c>
      <c r="N24" s="110">
        <f t="shared" si="71"/>
        <v>0.2202667736868538</v>
      </c>
      <c r="O24" s="96">
        <f t="shared" si="72"/>
        <v>4.1561116534167636E-2</v>
      </c>
      <c r="P24" s="95">
        <f t="shared" si="73"/>
        <v>0.24946740316078234</v>
      </c>
      <c r="Q24" s="95">
        <f t="shared" si="74"/>
        <v>0.67243325176179392</v>
      </c>
      <c r="R24" s="97">
        <v>48</v>
      </c>
      <c r="S24" s="97">
        <v>6342</v>
      </c>
      <c r="T24" s="98">
        <f>VLOOKUP(S24,'Mission Params'!$A$30:$F$41,3)</f>
        <v>0.23799999999999999</v>
      </c>
      <c r="U24" s="87">
        <f>VLOOKUP(S24,'Mission Params'!$A$30:$F$41,4)</f>
        <v>3152</v>
      </c>
      <c r="V24" s="87">
        <f>VLOOKUP(S24,'Mission Params'!$A$30:$F$41,5)</f>
        <v>0.57999999999999996</v>
      </c>
      <c r="W24" s="87">
        <f>VLOOKUP(S24,'Mission Params'!$A$30:$F$41,6)</f>
        <v>0.16970748067149488</v>
      </c>
      <c r="X24" s="87">
        <f t="shared" si="75"/>
        <v>46572</v>
      </c>
    </row>
    <row r="25" spans="1:24" s="15" customFormat="1" x14ac:dyDescent="0.25">
      <c r="A25" s="15" t="s">
        <v>77</v>
      </c>
      <c r="B25" s="35">
        <f t="shared" si="6"/>
        <v>304.416</v>
      </c>
      <c r="C25" s="35">
        <f t="shared" si="7"/>
        <v>25.368000000000002</v>
      </c>
      <c r="D25" s="99">
        <f t="shared" si="8"/>
        <v>11.423999999999999</v>
      </c>
      <c r="E25" s="100">
        <f t="shared" si="9"/>
        <v>0.57999999999999996</v>
      </c>
      <c r="F25" s="29">
        <f t="shared" si="10"/>
        <v>3152</v>
      </c>
      <c r="G25" s="112">
        <v>4167</v>
      </c>
      <c r="H25" s="112">
        <v>7119</v>
      </c>
      <c r="I25" s="102">
        <v>12000</v>
      </c>
      <c r="J25" s="115">
        <f t="shared" ref="J25:J28" si="83">SUM(G25:I25)</f>
        <v>23286</v>
      </c>
      <c r="K25" s="99">
        <f t="shared" si="12"/>
        <v>9940.1065578907983</v>
      </c>
      <c r="L25" s="104">
        <f t="shared" si="70"/>
        <v>33226.106557890802</v>
      </c>
      <c r="M25" s="39">
        <f t="shared" ref="M25:M28" si="84">H25/L25</f>
        <v>0.2142592297895741</v>
      </c>
      <c r="N25" s="39">
        <f t="shared" si="71"/>
        <v>0.2109641617076746</v>
      </c>
      <c r="O25" s="105">
        <f t="shared" si="72"/>
        <v>3.2950680818994993E-3</v>
      </c>
      <c r="P25" s="13">
        <f t="shared" si="73"/>
        <v>0.23032009974238027</v>
      </c>
      <c r="Q25" s="13">
        <f t="shared" si="74"/>
        <v>0.69757489286932539</v>
      </c>
      <c r="R25" s="106">
        <v>48</v>
      </c>
      <c r="S25" s="106">
        <v>6342</v>
      </c>
      <c r="T25" s="107">
        <f>VLOOKUP(S25,'Mission Params'!$A$30:$F$41,3)</f>
        <v>0.23799999999999999</v>
      </c>
      <c r="U25" s="85">
        <f>VLOOKUP(S25,'Mission Params'!$A$30:$F$41,4)</f>
        <v>3152</v>
      </c>
      <c r="V25" s="85">
        <f>VLOOKUP(S25,'Mission Params'!$A$30:$F$41,5)</f>
        <v>0.57999999999999996</v>
      </c>
      <c r="W25" s="85">
        <f>VLOOKUP(S25,'Mission Params'!$A$30:$F$41,6)</f>
        <v>0.16970748067149488</v>
      </c>
      <c r="X25" s="85">
        <f t="shared" si="75"/>
        <v>58572</v>
      </c>
    </row>
    <row r="26" spans="1:24" s="15" customFormat="1" x14ac:dyDescent="0.25">
      <c r="A26" s="15" t="s">
        <v>77</v>
      </c>
      <c r="B26" s="35">
        <f t="shared" si="6"/>
        <v>304.416</v>
      </c>
      <c r="C26" s="35">
        <f t="shared" si="7"/>
        <v>25.368000000000002</v>
      </c>
      <c r="D26" s="99">
        <f t="shared" si="8"/>
        <v>11.423999999999999</v>
      </c>
      <c r="E26" s="100">
        <f t="shared" si="9"/>
        <v>0.57999999999999996</v>
      </c>
      <c r="F26" s="29">
        <f t="shared" si="10"/>
        <v>3152</v>
      </c>
      <c r="G26" s="112">
        <v>4167</v>
      </c>
      <c r="H26" s="112">
        <v>7119</v>
      </c>
      <c r="I26" s="102">
        <v>16000</v>
      </c>
      <c r="J26" s="115">
        <f t="shared" si="83"/>
        <v>27286</v>
      </c>
      <c r="K26" s="99">
        <f t="shared" si="12"/>
        <v>11976.596325948736</v>
      </c>
      <c r="L26" s="104">
        <f t="shared" si="70"/>
        <v>39262.596325948733</v>
      </c>
      <c r="M26" s="39">
        <f t="shared" si="84"/>
        <v>0.18131760673440331</v>
      </c>
      <c r="N26" s="39">
        <f t="shared" si="71"/>
        <v>0.20252346004463237</v>
      </c>
      <c r="O26" s="105">
        <f t="shared" si="72"/>
        <v>2.1205853310229061E-2</v>
      </c>
      <c r="P26" s="13">
        <f t="shared" si="73"/>
        <v>0.21484772250651613</v>
      </c>
      <c r="Q26" s="13">
        <f t="shared" si="74"/>
        <v>0.71789111949633844</v>
      </c>
      <c r="R26" s="106">
        <v>48</v>
      </c>
      <c r="S26" s="106">
        <v>6342</v>
      </c>
      <c r="T26" s="107">
        <f>VLOOKUP(S26,'Mission Params'!$A$30:$F$41,3)</f>
        <v>0.23799999999999999</v>
      </c>
      <c r="U26" s="85">
        <f>VLOOKUP(S26,'Mission Params'!$A$30:$F$41,4)</f>
        <v>3152</v>
      </c>
      <c r="V26" s="85">
        <f>VLOOKUP(S26,'Mission Params'!$A$30:$F$41,5)</f>
        <v>0.57999999999999996</v>
      </c>
      <c r="W26" s="85">
        <f>VLOOKUP(S26,'Mission Params'!$A$30:$F$41,6)</f>
        <v>0.16970748067149488</v>
      </c>
      <c r="X26" s="85">
        <f t="shared" si="75"/>
        <v>70572</v>
      </c>
    </row>
    <row r="27" spans="1:24" s="79" customFormat="1" ht="15.75" thickBot="1" x14ac:dyDescent="0.3">
      <c r="A27" s="79" t="s">
        <v>77</v>
      </c>
      <c r="B27" s="69">
        <f t="shared" si="6"/>
        <v>304.416</v>
      </c>
      <c r="C27" s="69">
        <f t="shared" si="7"/>
        <v>25.368000000000002</v>
      </c>
      <c r="D27" s="69">
        <f t="shared" si="8"/>
        <v>11.423999999999999</v>
      </c>
      <c r="E27" s="70">
        <f t="shared" si="9"/>
        <v>0.57999999999999996</v>
      </c>
      <c r="F27" s="71">
        <f t="shared" si="10"/>
        <v>3152</v>
      </c>
      <c r="G27" s="80">
        <v>4167</v>
      </c>
      <c r="H27" s="80">
        <v>7119</v>
      </c>
      <c r="I27" s="86">
        <v>24000</v>
      </c>
      <c r="J27" s="83">
        <f t="shared" si="83"/>
        <v>35286</v>
      </c>
      <c r="K27" s="69">
        <f t="shared" si="12"/>
        <v>16049.575862064614</v>
      </c>
      <c r="L27" s="74">
        <f t="shared" si="70"/>
        <v>51335.575862064616</v>
      </c>
      <c r="M27" s="81">
        <f t="shared" si="84"/>
        <v>0.13867576004461885</v>
      </c>
      <c r="N27" s="81">
        <f t="shared" si="71"/>
        <v>0.18807300399919269</v>
      </c>
      <c r="O27" s="76">
        <f t="shared" si="72"/>
        <v>4.9397243954573844E-2</v>
      </c>
      <c r="P27" s="75">
        <f t="shared" si="73"/>
        <v>0.19126911097000898</v>
      </c>
      <c r="Q27" s="75">
        <f t="shared" si="74"/>
        <v>0.74885135322277696</v>
      </c>
      <c r="R27" s="77">
        <v>48</v>
      </c>
      <c r="S27" s="77">
        <v>6342</v>
      </c>
      <c r="T27" s="78">
        <f>VLOOKUP(S27,'Mission Params'!$A$30:$F$41,3)</f>
        <v>0.23799999999999999</v>
      </c>
      <c r="U27" s="68">
        <f>VLOOKUP(S27,'Mission Params'!$A$30:$F$41,4)</f>
        <v>3152</v>
      </c>
      <c r="V27" s="68">
        <f>VLOOKUP(S27,'Mission Params'!$A$30:$F$41,5)</f>
        <v>0.57999999999999996</v>
      </c>
      <c r="W27" s="68">
        <f>VLOOKUP(S27,'Mission Params'!$A$30:$F$41,6)</f>
        <v>0.16970748067149488</v>
      </c>
      <c r="X27" s="68">
        <f t="shared" si="75"/>
        <v>94572</v>
      </c>
    </row>
    <row r="28" spans="1:24" s="108" customFormat="1" x14ac:dyDescent="0.25">
      <c r="A28" s="108" t="s">
        <v>56</v>
      </c>
      <c r="B28" s="35">
        <f t="shared" si="6"/>
        <v>386.25600000000003</v>
      </c>
      <c r="C28" s="35">
        <f t="shared" si="7"/>
        <v>32.188000000000002</v>
      </c>
      <c r="D28" s="88">
        <f t="shared" si="8"/>
        <v>15.600000000000001</v>
      </c>
      <c r="E28" s="89">
        <f t="shared" si="9"/>
        <v>0.60699999999999998</v>
      </c>
      <c r="F28" s="90">
        <f t="shared" si="10"/>
        <v>3068</v>
      </c>
      <c r="G28" s="109">
        <v>4238</v>
      </c>
      <c r="H28" s="109">
        <v>10108</v>
      </c>
      <c r="I28" s="92">
        <v>8000</v>
      </c>
      <c r="J28" s="114">
        <f t="shared" si="83"/>
        <v>22346</v>
      </c>
      <c r="K28" s="88">
        <f t="shared" si="12"/>
        <v>9207.3181771199579</v>
      </c>
      <c r="L28" s="94">
        <f t="shared" si="70"/>
        <v>31553.31817711996</v>
      </c>
      <c r="M28" s="110">
        <f t="shared" si="84"/>
        <v>0.32034665714902671</v>
      </c>
      <c r="N28" s="110">
        <f t="shared" si="71"/>
        <v>0.23131571235606044</v>
      </c>
      <c r="O28" s="96">
        <f t="shared" si="72"/>
        <v>8.9030944792966277E-2</v>
      </c>
      <c r="P28" s="95">
        <f t="shared" si="73"/>
        <v>0.28305518989492873</v>
      </c>
      <c r="Q28" s="95">
        <f t="shared" si="74"/>
        <v>0.63669048117531657</v>
      </c>
      <c r="R28" s="97">
        <v>48</v>
      </c>
      <c r="S28" s="97">
        <v>8047</v>
      </c>
      <c r="T28" s="98">
        <f>VLOOKUP(S28,'Mission Params'!$A$30:$F$41,3)</f>
        <v>0.32500000000000001</v>
      </c>
      <c r="U28" s="87">
        <f>VLOOKUP(S28,'Mission Params'!$A$30:$F$41,4)</f>
        <v>3068</v>
      </c>
      <c r="V28" s="87">
        <f>VLOOKUP(S28,'Mission Params'!$A$30:$F$41,5)</f>
        <v>0.60699999999999998</v>
      </c>
      <c r="W28" s="87">
        <f>VLOOKUP(S28,'Mission Params'!$A$30:$F$41,6)</f>
        <v>0.17473844562969632</v>
      </c>
      <c r="X28" s="87">
        <f t="shared" si="75"/>
        <v>52692</v>
      </c>
    </row>
    <row r="29" spans="1:24" s="15" customFormat="1" x14ac:dyDescent="0.25">
      <c r="A29" s="15" t="s">
        <v>56</v>
      </c>
      <c r="B29" s="35">
        <f t="shared" si="6"/>
        <v>386.25600000000003</v>
      </c>
      <c r="C29" s="35">
        <f t="shared" si="7"/>
        <v>32.188000000000002</v>
      </c>
      <c r="D29" s="99">
        <f t="shared" si="8"/>
        <v>15.600000000000001</v>
      </c>
      <c r="E29" s="100">
        <f t="shared" si="9"/>
        <v>0.60699999999999998</v>
      </c>
      <c r="F29" s="29">
        <f t="shared" si="10"/>
        <v>3068</v>
      </c>
      <c r="G29" s="112">
        <v>4238</v>
      </c>
      <c r="H29" s="112">
        <v>10108</v>
      </c>
      <c r="I29" s="102">
        <v>12000</v>
      </c>
      <c r="J29" s="115">
        <f>SUM(G29:I29)</f>
        <v>26346</v>
      </c>
      <c r="K29" s="99">
        <f t="shared" si="12"/>
        <v>11304.179524676314</v>
      </c>
      <c r="L29" s="104">
        <f t="shared" si="70"/>
        <v>37650.179524676314</v>
      </c>
      <c r="M29" s="39">
        <f>H29/L29</f>
        <v>0.26847149542474591</v>
      </c>
      <c r="N29" s="39">
        <f t="shared" si="71"/>
        <v>0.2242074974825824</v>
      </c>
      <c r="O29" s="105">
        <f t="shared" si="72"/>
        <v>4.4263997942163513E-2</v>
      </c>
      <c r="P29" s="13">
        <f t="shared" si="73"/>
        <v>0.26442688914083046</v>
      </c>
      <c r="Q29" s="13">
        <f t="shared" si="74"/>
        <v>0.66060044370243065</v>
      </c>
      <c r="R29" s="106">
        <v>48</v>
      </c>
      <c r="S29" s="106">
        <v>8047</v>
      </c>
      <c r="T29" s="107">
        <f>VLOOKUP(S29,'Mission Params'!$A$30:$F$41,3)</f>
        <v>0.32500000000000001</v>
      </c>
      <c r="U29" s="85">
        <f>VLOOKUP(S29,'Mission Params'!$A$30:$F$41,4)</f>
        <v>3068</v>
      </c>
      <c r="V29" s="85">
        <f>VLOOKUP(S29,'Mission Params'!$A$30:$F$41,5)</f>
        <v>0.60699999999999998</v>
      </c>
      <c r="W29" s="85">
        <f>VLOOKUP(S29,'Mission Params'!$A$30:$F$41,6)</f>
        <v>0.17473844562969632</v>
      </c>
      <c r="X29" s="85">
        <f t="shared" si="75"/>
        <v>64692</v>
      </c>
    </row>
    <row r="30" spans="1:24" s="15" customFormat="1" x14ac:dyDescent="0.25">
      <c r="A30" s="15" t="s">
        <v>56</v>
      </c>
      <c r="B30" s="35">
        <f t="shared" si="6"/>
        <v>386.25600000000003</v>
      </c>
      <c r="C30" s="35">
        <f t="shared" si="7"/>
        <v>32.188000000000002</v>
      </c>
      <c r="D30" s="99">
        <f t="shared" si="8"/>
        <v>15.600000000000001</v>
      </c>
      <c r="E30" s="100">
        <f t="shared" si="9"/>
        <v>0.60699999999999998</v>
      </c>
      <c r="F30" s="29">
        <f t="shared" si="10"/>
        <v>3068</v>
      </c>
      <c r="G30" s="112">
        <v>4238</v>
      </c>
      <c r="H30" s="112">
        <v>10108</v>
      </c>
      <c r="I30" s="102">
        <v>16000</v>
      </c>
      <c r="J30" s="116">
        <f t="shared" ref="J30:J31" si="85">SUM(G30:I30)</f>
        <v>30346</v>
      </c>
      <c r="K30" s="99">
        <f t="shared" si="12"/>
        <v>13401.04087223267</v>
      </c>
      <c r="L30" s="104">
        <f t="shared" si="70"/>
        <v>43747.040872232668</v>
      </c>
      <c r="M30" s="39">
        <f t="shared" ref="M30:M31" si="86">H30/L30</f>
        <v>0.23105562795713111</v>
      </c>
      <c r="N30" s="39">
        <f t="shared" si="71"/>
        <v>0.2173947708273625</v>
      </c>
      <c r="O30" s="105">
        <f t="shared" si="72"/>
        <v>1.3660857129768611E-2</v>
      </c>
      <c r="P30" s="13">
        <f t="shared" si="73"/>
        <v>0.24886920493323733</v>
      </c>
      <c r="Q30" s="13">
        <f t="shared" si="74"/>
        <v>0.68056918112634146</v>
      </c>
      <c r="R30" s="106">
        <v>48</v>
      </c>
      <c r="S30" s="106">
        <v>8047</v>
      </c>
      <c r="T30" s="107">
        <f>VLOOKUP(S30,'Mission Params'!$A$30:$F$41,3)</f>
        <v>0.32500000000000001</v>
      </c>
      <c r="U30" s="85">
        <f>VLOOKUP(S30,'Mission Params'!$A$30:$F$41,4)</f>
        <v>3068</v>
      </c>
      <c r="V30" s="85">
        <f>VLOOKUP(S30,'Mission Params'!$A$30:$F$41,5)</f>
        <v>0.60699999999999998</v>
      </c>
      <c r="W30" s="85">
        <f>VLOOKUP(S30,'Mission Params'!$A$30:$F$41,6)</f>
        <v>0.17473844562969632</v>
      </c>
      <c r="X30" s="85">
        <f t="shared" si="75"/>
        <v>76692</v>
      </c>
    </row>
    <row r="31" spans="1:24" s="79" customFormat="1" ht="15.75" thickBot="1" x14ac:dyDescent="0.3">
      <c r="A31" s="79" t="s">
        <v>56</v>
      </c>
      <c r="B31" s="69">
        <f t="shared" si="6"/>
        <v>386.25600000000003</v>
      </c>
      <c r="C31" s="69">
        <f t="shared" si="7"/>
        <v>32.188000000000002</v>
      </c>
      <c r="D31" s="69">
        <f t="shared" si="8"/>
        <v>15.600000000000001</v>
      </c>
      <c r="E31" s="70">
        <f t="shared" si="9"/>
        <v>0.60699999999999998</v>
      </c>
      <c r="F31" s="71">
        <f t="shared" si="10"/>
        <v>3068</v>
      </c>
      <c r="G31" s="80">
        <v>4238</v>
      </c>
      <c r="H31" s="80">
        <v>10108</v>
      </c>
      <c r="I31" s="86">
        <v>24000</v>
      </c>
      <c r="J31" s="84">
        <f t="shared" si="85"/>
        <v>38346</v>
      </c>
      <c r="K31" s="69">
        <f t="shared" si="12"/>
        <v>17594.763567345381</v>
      </c>
      <c r="L31" s="74">
        <f t="shared" si="70"/>
        <v>55940.763567345377</v>
      </c>
      <c r="M31" s="81">
        <f t="shared" si="86"/>
        <v>0.18069113389614869</v>
      </c>
      <c r="N31" s="81">
        <f t="shared" si="71"/>
        <v>0.20503002353346761</v>
      </c>
      <c r="O31" s="76">
        <f t="shared" si="72"/>
        <v>2.4338889637318922E-2</v>
      </c>
      <c r="P31" s="75">
        <f t="shared" si="73"/>
        <v>0.22433366461489163</v>
      </c>
      <c r="Q31" s="75">
        <f t="shared" si="74"/>
        <v>0.71206125640138129</v>
      </c>
      <c r="R31" s="77">
        <v>48</v>
      </c>
      <c r="S31" s="77">
        <v>8047</v>
      </c>
      <c r="T31" s="78">
        <f>VLOOKUP(S31,'Mission Params'!$A$30:$F$41,3)</f>
        <v>0.32500000000000001</v>
      </c>
      <c r="U31" s="68">
        <f>VLOOKUP(S31,'Mission Params'!$A$30:$F$41,4)</f>
        <v>3068</v>
      </c>
      <c r="V31" s="68">
        <f>VLOOKUP(S31,'Mission Params'!$A$30:$F$41,5)</f>
        <v>0.60699999999999998</v>
      </c>
      <c r="W31" s="68">
        <f>VLOOKUP(S31,'Mission Params'!$A$30:$F$41,6)</f>
        <v>0.17473844562969632</v>
      </c>
      <c r="X31" s="68">
        <f t="shared" si="75"/>
        <v>100692</v>
      </c>
    </row>
    <row r="32" spans="1:24" s="108" customFormat="1" x14ac:dyDescent="0.25">
      <c r="A32" s="108" t="s">
        <v>53</v>
      </c>
      <c r="B32" s="35">
        <f t="shared" si="6"/>
        <v>292.03199999999998</v>
      </c>
      <c r="C32" s="35">
        <f t="shared" si="7"/>
        <v>18.251999999999999</v>
      </c>
      <c r="D32" s="88">
        <f t="shared" si="8"/>
        <v>11.007999999999999</v>
      </c>
      <c r="E32" s="89">
        <f t="shared" si="9"/>
        <v>0.59199999999999997</v>
      </c>
      <c r="F32" s="90">
        <f t="shared" si="10"/>
        <v>3203</v>
      </c>
      <c r="G32" s="109">
        <v>5120</v>
      </c>
      <c r="H32" s="109">
        <v>7206</v>
      </c>
      <c r="I32" s="92">
        <v>12000</v>
      </c>
      <c r="J32" s="90">
        <f t="shared" ref="J32:J35" si="87">SUM(G32:I32)</f>
        <v>24326</v>
      </c>
      <c r="K32" s="88">
        <f t="shared" si="12"/>
        <v>10116.24547054482</v>
      </c>
      <c r="L32" s="90">
        <f>SUM(J32:K32)</f>
        <v>34442.245470544818</v>
      </c>
      <c r="M32" s="110">
        <f t="shared" ref="M32:M35" si="88">H32/L32</f>
        <v>0.20921980845187946</v>
      </c>
      <c r="N32" s="110">
        <f t="shared" ref="N32:N43" si="89">Q32*(1-Q32)</f>
        <v>0.20796210870077994</v>
      </c>
      <c r="O32" s="96">
        <f t="shared" ref="O32:O43" si="90">ABS(M32-N32)</f>
        <v>1.2576997510995169E-3</v>
      </c>
      <c r="P32" s="95">
        <f t="shared" ref="P32:P42" si="91">SQRT(E32*H32*(1/J32 - 1/L32))</f>
        <v>0.22695334167619546</v>
      </c>
      <c r="Q32" s="95">
        <f t="shared" ref="Q32:Q42" si="92">1-(P32/SQRT(E32))</f>
        <v>0.70503143978234184</v>
      </c>
      <c r="R32" s="111">
        <v>64</v>
      </c>
      <c r="S32" s="111">
        <v>4563</v>
      </c>
      <c r="T32" s="98">
        <f>VLOOKUP(S32,'Mission Params'!$A$30:$F$41,3)</f>
        <v>0.17199999999999999</v>
      </c>
      <c r="U32" s="87">
        <f>VLOOKUP(S32,'Mission Params'!$A$30:$F$41,4)</f>
        <v>3203</v>
      </c>
      <c r="V32" s="87">
        <f>VLOOKUP(S32,'Mission Params'!$A$30:$F$41,5)</f>
        <v>0.59199999999999997</v>
      </c>
      <c r="W32" s="87">
        <f>VLOOKUP(S32,'Mission Params'!$A$30:$F$41,6)</f>
        <v>0.16679162221435107</v>
      </c>
      <c r="X32" s="87">
        <f t="shared" ref="X32:X43" si="93">(I32+2*J32)</f>
        <v>60652</v>
      </c>
    </row>
    <row r="33" spans="1:24" s="15" customFormat="1" x14ac:dyDescent="0.25">
      <c r="A33" s="15" t="s">
        <v>53</v>
      </c>
      <c r="B33" s="35">
        <f t="shared" si="6"/>
        <v>292.03199999999998</v>
      </c>
      <c r="C33" s="35">
        <f t="shared" si="7"/>
        <v>18.251999999999999</v>
      </c>
      <c r="D33" s="99">
        <f t="shared" si="8"/>
        <v>11.007999999999999</v>
      </c>
      <c r="E33" s="100">
        <f t="shared" si="9"/>
        <v>0.59199999999999997</v>
      </c>
      <c r="F33" s="29">
        <f t="shared" si="10"/>
        <v>3203</v>
      </c>
      <c r="G33" s="112">
        <v>5120</v>
      </c>
      <c r="H33" s="112">
        <v>7206</v>
      </c>
      <c r="I33" s="102">
        <v>16000</v>
      </c>
      <c r="J33" s="29">
        <f t="shared" si="87"/>
        <v>28326</v>
      </c>
      <c r="K33" s="99">
        <f t="shared" si="12"/>
        <v>12117.744937117033</v>
      </c>
      <c r="L33" s="29">
        <f t="shared" ref="L33:L34" si="94">SUM(J33:K33)</f>
        <v>40443.744937117037</v>
      </c>
      <c r="M33" s="39">
        <f t="shared" si="88"/>
        <v>0.17817341127049616</v>
      </c>
      <c r="N33" s="39">
        <f t="shared" si="89"/>
        <v>0.19986119421038576</v>
      </c>
      <c r="O33" s="105">
        <f t="shared" si="90"/>
        <v>2.1687782939889599E-2</v>
      </c>
      <c r="P33" s="13">
        <f t="shared" si="91"/>
        <v>0.21242253089407923</v>
      </c>
      <c r="Q33" s="13">
        <f t="shared" si="92"/>
        <v>0.72391696181757703</v>
      </c>
      <c r="R33" s="113">
        <v>64</v>
      </c>
      <c r="S33" s="113">
        <v>4563</v>
      </c>
      <c r="T33" s="107">
        <f>VLOOKUP(S33,'Mission Params'!$A$30:$F$41,3)</f>
        <v>0.17199999999999999</v>
      </c>
      <c r="U33" s="85">
        <f>VLOOKUP(S33,'Mission Params'!$A$30:$F$41,4)</f>
        <v>3203</v>
      </c>
      <c r="V33" s="85">
        <f>VLOOKUP(S33,'Mission Params'!$A$30:$F$41,5)</f>
        <v>0.59199999999999997</v>
      </c>
      <c r="W33" s="85">
        <f>VLOOKUP(S33,'Mission Params'!$A$30:$F$41,6)</f>
        <v>0.16679162221435107</v>
      </c>
      <c r="X33" s="85">
        <f t="shared" si="93"/>
        <v>72652</v>
      </c>
    </row>
    <row r="34" spans="1:24" s="15" customFormat="1" x14ac:dyDescent="0.25">
      <c r="A34" s="15" t="s">
        <v>53</v>
      </c>
      <c r="B34" s="35">
        <f t="shared" si="6"/>
        <v>292.03199999999998</v>
      </c>
      <c r="C34" s="35">
        <f t="shared" si="7"/>
        <v>18.251999999999999</v>
      </c>
      <c r="D34" s="99">
        <f t="shared" si="8"/>
        <v>11.007999999999999</v>
      </c>
      <c r="E34" s="100">
        <f t="shared" si="9"/>
        <v>0.59199999999999997</v>
      </c>
      <c r="F34" s="29">
        <f t="shared" si="10"/>
        <v>3203</v>
      </c>
      <c r="G34" s="112">
        <v>5120</v>
      </c>
      <c r="H34" s="112">
        <v>7206</v>
      </c>
      <c r="I34" s="102">
        <v>24000</v>
      </c>
      <c r="J34" s="29">
        <f t="shared" si="87"/>
        <v>36326</v>
      </c>
      <c r="K34" s="99">
        <f t="shared" si="12"/>
        <v>16120.74387026146</v>
      </c>
      <c r="L34" s="29">
        <f t="shared" si="94"/>
        <v>52446.74387026146</v>
      </c>
      <c r="M34" s="39">
        <f t="shared" si="88"/>
        <v>0.13739651822476576</v>
      </c>
      <c r="N34" s="39">
        <f t="shared" si="89"/>
        <v>0.18595492958472795</v>
      </c>
      <c r="O34" s="105">
        <f t="shared" si="90"/>
        <v>4.8558411359962195E-2</v>
      </c>
      <c r="P34" s="13">
        <f t="shared" si="91"/>
        <v>0.18999075416790173</v>
      </c>
      <c r="Q34" s="13">
        <f t="shared" si="92"/>
        <v>0.75307127536579899</v>
      </c>
      <c r="R34" s="113">
        <v>64</v>
      </c>
      <c r="S34" s="113">
        <v>4563</v>
      </c>
      <c r="T34" s="107">
        <f>VLOOKUP(S34,'Mission Params'!$A$30:$F$41,3)</f>
        <v>0.17199999999999999</v>
      </c>
      <c r="U34" s="85">
        <f>VLOOKUP(S34,'Mission Params'!$A$30:$F$41,4)</f>
        <v>3203</v>
      </c>
      <c r="V34" s="85">
        <f>VLOOKUP(S34,'Mission Params'!$A$30:$F$41,5)</f>
        <v>0.59199999999999997</v>
      </c>
      <c r="W34" s="85">
        <f>VLOOKUP(S34,'Mission Params'!$A$30:$F$41,6)</f>
        <v>0.16679162221435107</v>
      </c>
      <c r="X34" s="85">
        <f t="shared" si="93"/>
        <v>96652</v>
      </c>
    </row>
    <row r="35" spans="1:24" s="79" customFormat="1" ht="15.75" thickBot="1" x14ac:dyDescent="0.3">
      <c r="A35" s="79" t="s">
        <v>53</v>
      </c>
      <c r="B35" s="69">
        <f t="shared" si="6"/>
        <v>292.03199999999998</v>
      </c>
      <c r="C35" s="69">
        <f t="shared" si="7"/>
        <v>18.251999999999999</v>
      </c>
      <c r="D35" s="69">
        <f t="shared" si="8"/>
        <v>11.007999999999999</v>
      </c>
      <c r="E35" s="70">
        <f t="shared" si="9"/>
        <v>0.59199999999999997</v>
      </c>
      <c r="F35" s="71">
        <f t="shared" si="10"/>
        <v>3203</v>
      </c>
      <c r="G35" s="80">
        <v>5120</v>
      </c>
      <c r="H35" s="80">
        <v>7206</v>
      </c>
      <c r="I35" s="86">
        <v>36000</v>
      </c>
      <c r="J35" s="71">
        <f t="shared" si="87"/>
        <v>48326</v>
      </c>
      <c r="K35" s="69">
        <f t="shared" si="12"/>
        <v>22125.242269978098</v>
      </c>
      <c r="L35" s="71">
        <f>SUM(J35:K35)</f>
        <v>70451.242269978102</v>
      </c>
      <c r="M35" s="81">
        <f t="shared" si="88"/>
        <v>0.10228350512806705</v>
      </c>
      <c r="N35" s="81">
        <f t="shared" si="89"/>
        <v>0.16957079620887314</v>
      </c>
      <c r="O35" s="76">
        <f t="shared" si="90"/>
        <v>6.7287291080806083E-2</v>
      </c>
      <c r="P35" s="75">
        <f t="shared" si="91"/>
        <v>0.16650115373173388</v>
      </c>
      <c r="Q35" s="75">
        <f t="shared" si="92"/>
        <v>0.78360042981477807</v>
      </c>
      <c r="R35" s="82">
        <v>64</v>
      </c>
      <c r="S35" s="82">
        <v>4563</v>
      </c>
      <c r="T35" s="78">
        <f>VLOOKUP(S35,'Mission Params'!$A$30:$F$41,3)</f>
        <v>0.17199999999999999</v>
      </c>
      <c r="U35" s="68">
        <f>VLOOKUP(S35,'Mission Params'!$A$30:$F$41,4)</f>
        <v>3203</v>
      </c>
      <c r="V35" s="68">
        <f>VLOOKUP(S35,'Mission Params'!$A$30:$F$41,5)</f>
        <v>0.59199999999999997</v>
      </c>
      <c r="W35" s="68">
        <f>VLOOKUP(S35,'Mission Params'!$A$30:$F$41,6)</f>
        <v>0.16679162221435107</v>
      </c>
      <c r="X35" s="68">
        <f t="shared" si="93"/>
        <v>132652</v>
      </c>
    </row>
    <row r="36" spans="1:24" s="108" customFormat="1" x14ac:dyDescent="0.25">
      <c r="A36" s="108" t="s">
        <v>60</v>
      </c>
      <c r="B36" s="35">
        <f t="shared" si="6"/>
        <v>405.88800000000003</v>
      </c>
      <c r="C36" s="35">
        <f t="shared" si="7"/>
        <v>25.368000000000002</v>
      </c>
      <c r="D36" s="88">
        <f t="shared" si="8"/>
        <v>15.231999999999999</v>
      </c>
      <c r="E36" s="89">
        <f t="shared" si="9"/>
        <v>0.57999999999999996</v>
      </c>
      <c r="F36" s="90">
        <f t="shared" si="10"/>
        <v>3152</v>
      </c>
      <c r="G36" s="109">
        <v>5208</v>
      </c>
      <c r="H36" s="109">
        <v>11057</v>
      </c>
      <c r="I36" s="92">
        <v>12000</v>
      </c>
      <c r="J36" s="117">
        <f>SUM(G36:I36)</f>
        <v>28265</v>
      </c>
      <c r="K36" s="88">
        <f t="shared" si="12"/>
        <v>11630.053650417543</v>
      </c>
      <c r="L36" s="90">
        <f t="shared" ref="L36:L42" si="95">SUM(J36:K36)</f>
        <v>39895.05365041754</v>
      </c>
      <c r="M36" s="110">
        <f>H36/L36</f>
        <v>0.27715215266753446</v>
      </c>
      <c r="N36" s="110">
        <f t="shared" si="89"/>
        <v>0.22365730451351426</v>
      </c>
      <c r="O36" s="96">
        <f t="shared" si="90"/>
        <v>5.3494848154020197E-2</v>
      </c>
      <c r="P36" s="95">
        <f t="shared" si="91"/>
        <v>0.25718136027319372</v>
      </c>
      <c r="Q36" s="95">
        <f t="shared" si="92"/>
        <v>0.66230432984515764</v>
      </c>
      <c r="R36" s="111">
        <v>64</v>
      </c>
      <c r="S36" s="97">
        <v>6342</v>
      </c>
      <c r="T36" s="98">
        <f>VLOOKUP(S36,'Mission Params'!$A$30:$F$41,3)</f>
        <v>0.23799999999999999</v>
      </c>
      <c r="U36" s="87">
        <f>VLOOKUP(S36,'Mission Params'!$A$30:$F$41,4)</f>
        <v>3152</v>
      </c>
      <c r="V36" s="87">
        <f>VLOOKUP(S36,'Mission Params'!$A$30:$F$41,5)</f>
        <v>0.57999999999999996</v>
      </c>
      <c r="W36" s="87">
        <f>VLOOKUP(S36,'Mission Params'!$A$30:$F$41,6)</f>
        <v>0.16970748067149488</v>
      </c>
      <c r="X36" s="87">
        <f t="shared" si="93"/>
        <v>68530</v>
      </c>
    </row>
    <row r="37" spans="1:24" s="15" customFormat="1" x14ac:dyDescent="0.25">
      <c r="A37" s="15" t="s">
        <v>60</v>
      </c>
      <c r="B37" s="35">
        <f t="shared" si="6"/>
        <v>405.88800000000003</v>
      </c>
      <c r="C37" s="35">
        <f t="shared" si="7"/>
        <v>25.368000000000002</v>
      </c>
      <c r="D37" s="99">
        <f t="shared" si="8"/>
        <v>15.231999999999999</v>
      </c>
      <c r="E37" s="100">
        <f t="shared" si="9"/>
        <v>0.57999999999999996</v>
      </c>
      <c r="F37" s="29">
        <f t="shared" si="10"/>
        <v>3152</v>
      </c>
      <c r="G37" s="112">
        <v>5208</v>
      </c>
      <c r="H37" s="112">
        <v>11057</v>
      </c>
      <c r="I37" s="102">
        <v>16000</v>
      </c>
      <c r="J37" s="116">
        <f>SUM(G37:I37)</f>
        <v>32265</v>
      </c>
      <c r="K37" s="99">
        <f t="shared" si="12"/>
        <v>13666.543418475483</v>
      </c>
      <c r="L37" s="29">
        <f t="shared" si="95"/>
        <v>45931.543418475485</v>
      </c>
      <c r="M37" s="39">
        <f>H37/L37</f>
        <v>0.2407278131122508</v>
      </c>
      <c r="N37" s="39">
        <f t="shared" si="89"/>
        <v>0.21735487646724583</v>
      </c>
      <c r="O37" s="105">
        <f t="shared" si="90"/>
        <v>2.3372936645004977E-2</v>
      </c>
      <c r="P37" s="13">
        <f t="shared" si="91"/>
        <v>0.24318715948374786</v>
      </c>
      <c r="Q37" s="13">
        <f t="shared" si="92"/>
        <v>0.68067961570900626</v>
      </c>
      <c r="R37" s="113">
        <v>64</v>
      </c>
      <c r="S37" s="106">
        <v>6342</v>
      </c>
      <c r="T37" s="107">
        <f>VLOOKUP(S37,'Mission Params'!$A$30:$F$41,3)</f>
        <v>0.23799999999999999</v>
      </c>
      <c r="U37" s="85">
        <f>VLOOKUP(S37,'Mission Params'!$A$30:$F$41,4)</f>
        <v>3152</v>
      </c>
      <c r="V37" s="85">
        <f>VLOOKUP(S37,'Mission Params'!$A$30:$F$41,5)</f>
        <v>0.57999999999999996</v>
      </c>
      <c r="W37" s="85">
        <f>VLOOKUP(S37,'Mission Params'!$A$30:$F$41,6)</f>
        <v>0.16970748067149488</v>
      </c>
      <c r="X37" s="85">
        <f t="shared" si="93"/>
        <v>80530</v>
      </c>
    </row>
    <row r="38" spans="1:24" s="15" customFormat="1" x14ac:dyDescent="0.25">
      <c r="A38" s="15" t="s">
        <v>60</v>
      </c>
      <c r="B38" s="35">
        <f t="shared" si="6"/>
        <v>405.88800000000003</v>
      </c>
      <c r="C38" s="35">
        <f t="shared" si="7"/>
        <v>25.368000000000002</v>
      </c>
      <c r="D38" s="99">
        <f t="shared" si="8"/>
        <v>15.231999999999999</v>
      </c>
      <c r="E38" s="100">
        <f t="shared" si="9"/>
        <v>0.57999999999999996</v>
      </c>
      <c r="F38" s="29">
        <f t="shared" si="10"/>
        <v>3152</v>
      </c>
      <c r="G38" s="112">
        <v>5208</v>
      </c>
      <c r="H38" s="112">
        <v>11057</v>
      </c>
      <c r="I38" s="102">
        <v>24000</v>
      </c>
      <c r="J38" s="116">
        <f t="shared" ref="J38:J39" si="96">SUM(G38:I38)</f>
        <v>40265</v>
      </c>
      <c r="K38" s="99">
        <f t="shared" si="12"/>
        <v>17739.522954591361</v>
      </c>
      <c r="L38" s="29">
        <f t="shared" si="95"/>
        <v>58004.522954591361</v>
      </c>
      <c r="M38" s="39">
        <f t="shared" ref="M38:M39" si="97">H38/L38</f>
        <v>0.19062306587118963</v>
      </c>
      <c r="N38" s="39">
        <f t="shared" si="89"/>
        <v>0.20581496710453664</v>
      </c>
      <c r="O38" s="105">
        <f t="shared" si="90"/>
        <v>1.5191901233347016E-2</v>
      </c>
      <c r="P38" s="13">
        <f t="shared" si="91"/>
        <v>0.22070330593427143</v>
      </c>
      <c r="Q38" s="13">
        <f t="shared" si="92"/>
        <v>0.7102023617742278</v>
      </c>
      <c r="R38" s="113">
        <v>64</v>
      </c>
      <c r="S38" s="106">
        <v>6342</v>
      </c>
      <c r="T38" s="107">
        <f>VLOOKUP(S38,'Mission Params'!$A$30:$F$41,3)</f>
        <v>0.23799999999999999</v>
      </c>
      <c r="U38" s="85">
        <f>VLOOKUP(S38,'Mission Params'!$A$30:$F$41,4)</f>
        <v>3152</v>
      </c>
      <c r="V38" s="85">
        <f>VLOOKUP(S38,'Mission Params'!$A$30:$F$41,5)</f>
        <v>0.57999999999999996</v>
      </c>
      <c r="W38" s="85">
        <f>VLOOKUP(S38,'Mission Params'!$A$30:$F$41,6)</f>
        <v>0.16970748067149488</v>
      </c>
      <c r="X38" s="85">
        <f t="shared" si="93"/>
        <v>104530</v>
      </c>
    </row>
    <row r="39" spans="1:24" s="79" customFormat="1" ht="15.75" thickBot="1" x14ac:dyDescent="0.3">
      <c r="A39" s="79" t="s">
        <v>60</v>
      </c>
      <c r="B39" s="69">
        <f t="shared" si="6"/>
        <v>405.88800000000003</v>
      </c>
      <c r="C39" s="69">
        <f t="shared" si="7"/>
        <v>25.368000000000002</v>
      </c>
      <c r="D39" s="69">
        <f t="shared" si="8"/>
        <v>15.231999999999999</v>
      </c>
      <c r="E39" s="70">
        <f t="shared" si="9"/>
        <v>0.57999999999999996</v>
      </c>
      <c r="F39" s="71">
        <f t="shared" si="10"/>
        <v>3152</v>
      </c>
      <c r="G39" s="80">
        <v>5208</v>
      </c>
      <c r="H39" s="80">
        <v>11057</v>
      </c>
      <c r="I39" s="86">
        <v>36000</v>
      </c>
      <c r="J39" s="84">
        <f t="shared" si="96"/>
        <v>52265</v>
      </c>
      <c r="K39" s="69">
        <f t="shared" si="12"/>
        <v>23848.992258765174</v>
      </c>
      <c r="L39" s="71">
        <f t="shared" si="95"/>
        <v>76113.992258765182</v>
      </c>
      <c r="M39" s="81">
        <f t="shared" si="97"/>
        <v>0.14526895347191163</v>
      </c>
      <c r="N39" s="81">
        <f t="shared" si="89"/>
        <v>0.19117612497297021</v>
      </c>
      <c r="O39" s="76">
        <f t="shared" si="90"/>
        <v>4.590717150105858E-2</v>
      </c>
      <c r="P39" s="75">
        <f t="shared" si="91"/>
        <v>0.19607848363045977</v>
      </c>
      <c r="Q39" s="75">
        <f t="shared" si="92"/>
        <v>0.74253633753940829</v>
      </c>
      <c r="R39" s="82">
        <v>64</v>
      </c>
      <c r="S39" s="77">
        <v>6342</v>
      </c>
      <c r="T39" s="78">
        <f>VLOOKUP(S39,'Mission Params'!$A$30:$F$41,3)</f>
        <v>0.23799999999999999</v>
      </c>
      <c r="U39" s="68">
        <f>VLOOKUP(S39,'Mission Params'!$A$30:$F$41,4)</f>
        <v>3152</v>
      </c>
      <c r="V39" s="68">
        <f>VLOOKUP(S39,'Mission Params'!$A$30:$F$41,5)</f>
        <v>0.57999999999999996</v>
      </c>
      <c r="W39" s="68">
        <f>VLOOKUP(S39,'Mission Params'!$A$30:$F$41,6)</f>
        <v>0.16970748067149488</v>
      </c>
      <c r="X39" s="68">
        <f t="shared" si="93"/>
        <v>140530</v>
      </c>
    </row>
    <row r="40" spans="1:24" s="108" customFormat="1" x14ac:dyDescent="0.25">
      <c r="A40" s="108" t="s">
        <v>57</v>
      </c>
      <c r="B40" s="35">
        <f t="shared" si="6"/>
        <v>515.00800000000004</v>
      </c>
      <c r="C40" s="35">
        <f t="shared" si="7"/>
        <v>32.188000000000002</v>
      </c>
      <c r="D40" s="88">
        <f t="shared" si="8"/>
        <v>20.8</v>
      </c>
      <c r="E40" s="89">
        <f t="shared" si="9"/>
        <v>0.60699999999999998</v>
      </c>
      <c r="F40" s="90">
        <f t="shared" si="10"/>
        <v>3068</v>
      </c>
      <c r="G40" s="111">
        <v>5297</v>
      </c>
      <c r="H40" s="111">
        <v>15718</v>
      </c>
      <c r="I40" s="92">
        <v>12000</v>
      </c>
      <c r="J40" s="117">
        <f>SUM(G40:I40)</f>
        <v>33015</v>
      </c>
      <c r="K40" s="88">
        <f t="shared" si="12"/>
        <v>13634.840912485204</v>
      </c>
      <c r="L40" s="90">
        <f t="shared" si="95"/>
        <v>46649.840912485204</v>
      </c>
      <c r="M40" s="110">
        <f>H40/L40</f>
        <v>0.3369357685374933</v>
      </c>
      <c r="N40" s="110">
        <f t="shared" si="89"/>
        <v>0.23387844137372404</v>
      </c>
      <c r="O40" s="96">
        <f t="shared" si="90"/>
        <v>0.10305732716376925</v>
      </c>
      <c r="P40" s="95">
        <f t="shared" si="91"/>
        <v>0.29062789140609202</v>
      </c>
      <c r="Q40" s="95">
        <f t="shared" si="92"/>
        <v>0.6269706998731438</v>
      </c>
      <c r="R40" s="111">
        <v>64</v>
      </c>
      <c r="S40" s="97">
        <v>8047</v>
      </c>
      <c r="T40" s="98">
        <f>VLOOKUP(S40,'Mission Params'!$A$30:$F$41,3)</f>
        <v>0.32500000000000001</v>
      </c>
      <c r="U40" s="87">
        <f>VLOOKUP(S40,'Mission Params'!$A$30:$F$41,4)</f>
        <v>3068</v>
      </c>
      <c r="V40" s="87">
        <f>VLOOKUP(S40,'Mission Params'!$A$30:$F$41,5)</f>
        <v>0.60699999999999998</v>
      </c>
      <c r="W40" s="87">
        <f>VLOOKUP(S40,'Mission Params'!$A$30:$F$41,6)</f>
        <v>0.17473844562969632</v>
      </c>
      <c r="X40" s="87">
        <f t="shared" si="93"/>
        <v>78030</v>
      </c>
    </row>
    <row r="41" spans="1:24" s="15" customFormat="1" x14ac:dyDescent="0.25">
      <c r="A41" s="15" t="s">
        <v>57</v>
      </c>
      <c r="B41" s="35">
        <f t="shared" si="6"/>
        <v>515.00800000000004</v>
      </c>
      <c r="C41" s="35">
        <f t="shared" si="7"/>
        <v>32.188000000000002</v>
      </c>
      <c r="D41" s="99">
        <f t="shared" si="8"/>
        <v>20.8</v>
      </c>
      <c r="E41" s="100">
        <f t="shared" ref="E41:E43" si="98">V41</f>
        <v>0.60699999999999998</v>
      </c>
      <c r="F41" s="29">
        <f t="shared" si="10"/>
        <v>3068</v>
      </c>
      <c r="G41" s="113">
        <v>5297</v>
      </c>
      <c r="H41" s="113">
        <v>15718</v>
      </c>
      <c r="I41" s="102">
        <v>16000</v>
      </c>
      <c r="J41" s="116">
        <f t="shared" ref="J41:J42" si="99">SUM(G41:I41)</f>
        <v>37015</v>
      </c>
      <c r="K41" s="99">
        <f t="shared" si="12"/>
        <v>15731.702260041558</v>
      </c>
      <c r="L41" s="29">
        <f t="shared" si="95"/>
        <v>52746.702260041558</v>
      </c>
      <c r="M41" s="39">
        <f t="shared" ref="M41:M42" si="100">H41/L41</f>
        <v>0.29799019325436055</v>
      </c>
      <c r="N41" s="39">
        <f t="shared" si="89"/>
        <v>0.22922857205627337</v>
      </c>
      <c r="O41" s="105">
        <f t="shared" si="90"/>
        <v>6.8761621198087181E-2</v>
      </c>
      <c r="P41" s="13">
        <f t="shared" si="91"/>
        <v>0.27726452949528724</v>
      </c>
      <c r="Q41" s="13">
        <f t="shared" si="92"/>
        <v>0.64412296119538559</v>
      </c>
      <c r="R41" s="113">
        <v>64</v>
      </c>
      <c r="S41" s="106">
        <v>8047</v>
      </c>
      <c r="T41" s="107">
        <f>VLOOKUP(S41,'Mission Params'!$A$30:$F$41,3)</f>
        <v>0.32500000000000001</v>
      </c>
      <c r="U41" s="85">
        <f>VLOOKUP(S41,'Mission Params'!$A$30:$F$41,4)</f>
        <v>3068</v>
      </c>
      <c r="V41" s="85">
        <f>VLOOKUP(S41,'Mission Params'!$A$30:$F$41,5)</f>
        <v>0.60699999999999998</v>
      </c>
      <c r="W41" s="85">
        <f>VLOOKUP(S41,'Mission Params'!$A$30:$F$41,6)</f>
        <v>0.17473844562969632</v>
      </c>
      <c r="X41" s="85">
        <f t="shared" si="93"/>
        <v>90030</v>
      </c>
    </row>
    <row r="42" spans="1:24" s="15" customFormat="1" x14ac:dyDescent="0.25">
      <c r="A42" s="15" t="s">
        <v>57</v>
      </c>
      <c r="B42" s="35">
        <f t="shared" si="6"/>
        <v>515.00800000000004</v>
      </c>
      <c r="C42" s="35">
        <f t="shared" si="7"/>
        <v>32.188000000000002</v>
      </c>
      <c r="D42" s="99">
        <f t="shared" si="8"/>
        <v>20.8</v>
      </c>
      <c r="E42" s="100">
        <f t="shared" si="98"/>
        <v>0.60699999999999998</v>
      </c>
      <c r="F42" s="29">
        <f t="shared" si="10"/>
        <v>3068</v>
      </c>
      <c r="G42" s="113">
        <v>5297</v>
      </c>
      <c r="H42" s="113">
        <v>15718</v>
      </c>
      <c r="I42" s="102">
        <v>24000</v>
      </c>
      <c r="J42" s="116">
        <f t="shared" si="99"/>
        <v>45015</v>
      </c>
      <c r="K42" s="99">
        <f t="shared" si="12"/>
        <v>19925.424955154271</v>
      </c>
      <c r="L42" s="29">
        <f t="shared" si="95"/>
        <v>64940.424955154274</v>
      </c>
      <c r="M42" s="39">
        <f t="shared" si="100"/>
        <v>0.24203722120473242</v>
      </c>
      <c r="N42" s="39">
        <f t="shared" si="89"/>
        <v>0.22017997921135143</v>
      </c>
      <c r="O42" s="105">
        <f t="shared" si="90"/>
        <v>2.1857241993380988E-2</v>
      </c>
      <c r="P42" s="13">
        <f t="shared" si="91"/>
        <v>0.25501198608858161</v>
      </c>
      <c r="Q42" s="13">
        <f t="shared" si="92"/>
        <v>0.67268474393717748</v>
      </c>
      <c r="R42" s="113">
        <v>64</v>
      </c>
      <c r="S42" s="106">
        <v>8047</v>
      </c>
      <c r="T42" s="107">
        <f>VLOOKUP(S42,'Mission Params'!$A$30:$F$41,3)</f>
        <v>0.32500000000000001</v>
      </c>
      <c r="U42" s="85">
        <f>VLOOKUP(S42,'Mission Params'!$A$30:$F$41,4)</f>
        <v>3068</v>
      </c>
      <c r="V42" s="85">
        <f>VLOOKUP(S42,'Mission Params'!$A$30:$F$41,5)</f>
        <v>0.60699999999999998</v>
      </c>
      <c r="W42" s="85">
        <f>VLOOKUP(S42,'Mission Params'!$A$30:$F$41,6)</f>
        <v>0.17473844562969632</v>
      </c>
      <c r="X42" s="85">
        <f t="shared" si="93"/>
        <v>114030</v>
      </c>
    </row>
    <row r="43" spans="1:24" s="79" customFormat="1" ht="15.75" thickBot="1" x14ac:dyDescent="0.3">
      <c r="A43" s="79" t="s">
        <v>57</v>
      </c>
      <c r="B43" s="69">
        <f t="shared" si="6"/>
        <v>515.00800000000004</v>
      </c>
      <c r="C43" s="69">
        <f t="shared" si="7"/>
        <v>32.188000000000002</v>
      </c>
      <c r="D43" s="69">
        <f t="shared" si="8"/>
        <v>20.8</v>
      </c>
      <c r="E43" s="70">
        <f t="shared" si="98"/>
        <v>0.60699999999999998</v>
      </c>
      <c r="F43" s="71">
        <f t="shared" si="10"/>
        <v>3068</v>
      </c>
      <c r="G43" s="82">
        <v>5297</v>
      </c>
      <c r="H43" s="82">
        <v>15718</v>
      </c>
      <c r="I43" s="86">
        <v>36000</v>
      </c>
      <c r="J43" s="84">
        <f t="shared" ref="J43" si="101">SUM(G43:I43)</f>
        <v>57015</v>
      </c>
      <c r="K43" s="69">
        <f t="shared" si="12"/>
        <v>26216.008997823337</v>
      </c>
      <c r="L43" s="71">
        <f t="shared" ref="L43" si="102">SUM(J43:K43)</f>
        <v>83231.008997823345</v>
      </c>
      <c r="M43" s="81">
        <f t="shared" ref="M43" si="103">H43/L43</f>
        <v>0.18884788481191014</v>
      </c>
      <c r="N43" s="81">
        <f t="shared" si="89"/>
        <v>0.20784206082459092</v>
      </c>
      <c r="O43" s="76">
        <f t="shared" si="90"/>
        <v>1.8994176012680775E-2</v>
      </c>
      <c r="P43" s="75">
        <f t="shared" ref="P43" si="104">SQRT(E43*H43*(1/J43 - 1/L43))</f>
        <v>0.22958268587510336</v>
      </c>
      <c r="Q43" s="75">
        <f t="shared" ref="Q43" si="105">1-(P43/SQRT(E43))</f>
        <v>0.70532398587454193</v>
      </c>
      <c r="R43" s="82">
        <v>64</v>
      </c>
      <c r="S43" s="77">
        <v>8047</v>
      </c>
      <c r="T43" s="78">
        <f>VLOOKUP(S43,'Mission Params'!$A$30:$F$41,3)</f>
        <v>0.32500000000000001</v>
      </c>
      <c r="U43" s="68">
        <f>VLOOKUP(S43,'Mission Params'!$A$30:$F$41,4)</f>
        <v>3068</v>
      </c>
      <c r="V43" s="68">
        <f>VLOOKUP(S43,'Mission Params'!$A$30:$F$41,5)</f>
        <v>0.60699999999999998</v>
      </c>
      <c r="W43" s="68">
        <f>VLOOKUP(S43,'Mission Params'!$A$30:$F$41,6)</f>
        <v>0.17473844562969632</v>
      </c>
      <c r="X43" s="68">
        <f t="shared" si="93"/>
        <v>150030</v>
      </c>
    </row>
  </sheetData>
  <conditionalFormatting sqref="I2 I5:I6 O5:O6 I8:I9 O8:O9 I14:I15 O14:O15 I17:I18 O17:O18 K2:K19 I11:I12 I20:I43 O11:O12 O20:O43">
    <cfRule type="expression" dxfId="37" priority="75">
      <formula>ABS($O2)&lt;_xlnm.Criteria</formula>
    </cfRule>
  </conditionalFormatting>
  <conditionalFormatting sqref="O2">
    <cfRule type="expression" dxfId="36" priority="68">
      <formula>ABS($O2)&lt;_xlnm.Criteria</formula>
    </cfRule>
  </conditionalFormatting>
  <conditionalFormatting sqref="I3">
    <cfRule type="expression" dxfId="35" priority="62">
      <formula>ABS($O3)&lt;_xlnm.Criteria</formula>
    </cfRule>
  </conditionalFormatting>
  <conditionalFormatting sqref="O3">
    <cfRule type="expression" dxfId="34" priority="61">
      <formula>ABS($O3)&lt;_xlnm.Criteria</formula>
    </cfRule>
  </conditionalFormatting>
  <conditionalFormatting sqref="I4">
    <cfRule type="expression" dxfId="33" priority="60">
      <formula>ABS($O4)&lt;_xlnm.Criteria</formula>
    </cfRule>
  </conditionalFormatting>
  <conditionalFormatting sqref="O4">
    <cfRule type="expression" dxfId="32" priority="59">
      <formula>ABS($O4)&lt;_xlnm.Criteria</formula>
    </cfRule>
  </conditionalFormatting>
  <conditionalFormatting sqref="I7">
    <cfRule type="expression" dxfId="31" priority="58">
      <formula>ABS($O7)&lt;_xlnm.Criteria</formula>
    </cfRule>
  </conditionalFormatting>
  <conditionalFormatting sqref="O7">
    <cfRule type="expression" dxfId="30" priority="57">
      <formula>ABS($O7)&lt;_xlnm.Criteria</formula>
    </cfRule>
  </conditionalFormatting>
  <conditionalFormatting sqref="I10">
    <cfRule type="expression" dxfId="29" priority="56">
      <formula>ABS($O10)&lt;_xlnm.Criteria</formula>
    </cfRule>
  </conditionalFormatting>
  <conditionalFormatting sqref="O10">
    <cfRule type="expression" dxfId="28" priority="55">
      <formula>ABS($O10)&lt;_xlnm.Criteria</formula>
    </cfRule>
  </conditionalFormatting>
  <conditionalFormatting sqref="K20:K43">
    <cfRule type="expression" dxfId="27" priority="54">
      <formula>ABS($O20)&lt;_xlnm.Criteria</formula>
    </cfRule>
  </conditionalFormatting>
  <conditionalFormatting sqref="I13">
    <cfRule type="expression" dxfId="26" priority="42">
      <formula>ABS($O13)&lt;_xlnm.Criteria</formula>
    </cfRule>
  </conditionalFormatting>
  <conditionalFormatting sqref="O13">
    <cfRule type="expression" dxfId="25" priority="41">
      <formula>ABS($O13)&lt;_xlnm.Criteria</formula>
    </cfRule>
  </conditionalFormatting>
  <conditionalFormatting sqref="I16">
    <cfRule type="expression" dxfId="24" priority="33">
      <formula>ABS($O16)&lt;_xlnm.Criteria</formula>
    </cfRule>
  </conditionalFormatting>
  <conditionalFormatting sqref="O16">
    <cfRule type="expression" dxfId="23" priority="32">
      <formula>ABS($O16)&lt;_xlnm.Criteria</formula>
    </cfRule>
  </conditionalFormatting>
  <conditionalFormatting sqref="I19">
    <cfRule type="expression" dxfId="22" priority="12">
      <formula>ABS($O19)&lt;_xlnm.Criteria</formula>
    </cfRule>
  </conditionalFormatting>
  <conditionalFormatting sqref="O19">
    <cfRule type="expression" dxfId="21" priority="11">
      <formula>ABS($O19)&lt;_xlnm.Criteria</formula>
    </cfRule>
  </conditionalFormatting>
  <printOptions gridLines="1"/>
  <pageMargins left="0.7" right="0.7" top="0.75" bottom="0.75" header="0.3" footer="0.3"/>
  <pageSetup scale="37" orientation="portrait" r:id="rId1"/>
  <headerFooter>
    <oddHeader>&amp;A</oddHeader>
  </headerFooter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3 6 0 6 3 5 - b 5 4 3 - 4 9 f 5 - 8 9 9 2 - 0 7 2 b 0 2 1 5 5 e 5 c "   x m l n s = " h t t p : / / s c h e m a s . m i c r o s o f t . c o m / D a t a M a s h u p " > A A A A A C 4 E A A B Q S w M E F A A C A A g A 6 5 Z 5 T W 8 b R z 2 o A A A A + g A A A B I A H A B D b 2 5 m a W c v U G F j a 2 F n Z S 5 4 b W w g o h g A K K A U A A A A A A A A A A A A A A A A A A A A A A A A A A A A h Y + x D o I w G I R f h X S n L c W o I T 9 l c J X E h G h c m 1 K h E Y q h x f J u D j 6 S r y C J o m 6 O d / d d c v e 4 3 S E b 2 y a 4 q t 7 q z q Q o w h Q F y s i u 1 K Z K 0 e B O 4 R p l H H Z C n k W l g g k 2 N h m t T l H t 3 C U h x H u P f Y y 7 v i K M 0 o g c 8 2 0 h a 9 W K U B v r h J E K f V r l / x b i c H i N 4 Q w v Y x y z F c M L G t E I y B x A r s 0 X Y t N m T I H 8 m L A Z G j f 0 i i s T 7 g s g s w T y / s G f U E s D B B Q A A g A I A O u W e U 0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r l n l N A Q 9 Z q i Q B A A A N A g A A E w A c A E Z v c m 1 1 b G F z L 1 N l Y 3 R p b 2 4 x L m 0 g o h g A K K A U A A A A A A A A A A A A A A A A A A A A A A A A A A A A b V H B a s M w D L 0 H + g / C u y Q Q w g Z j l 6 6 7 Z B 3 0 0 B G W w A 6 l B 9 d V G l N H D r Z D G 0 L / f U 6 6 M j q i i + C 9 p y f x Z F E 4 q Q n y a 3 + a z 4 J Z Y C t u c A 9 C U y k P t k E B C 1 D o A v C V 6 9 Y I 9 M D y L F A l a W s M k v v W 5 r j T + h h G / e a T 1 7 h g v 8 N s e 9 m k m p z X b O P R 4 I G l F a e D 9 y + 6 B p l 3 K v h O Y V I Y T r b U p k 6 1 a m s a S B t e t 8 V 9 z 9 L R r z V 8 O J P F 4 D w P n L p L D D 3 L 0 U G m J b k b 4 f D s R m b N z 1 B U p r W D 4 I T m J q C 2 3 q E Z J c u y l E I i i W 6 C X N n G o y t y L 8 / J c N I I X g 0 n 1 O + m g z W 3 d o L K j G 5 Q K U 5 T c x n v l O b 7 + 0 2 X 6 B b Y h 1 Q O h 4 9 8 6 Z P 9 S y x H 5 b 8 2 Y O G / U G N A L i o I N 3 e p b e H 1 D R 6 j K J A 0 a T z / A V B L A Q I t A B Q A A g A I A O u W e U 1 v G 0 c 9 q A A A A P o A A A A S A A A A A A A A A A A A A A A A A A A A A A B D b 2 5 m a W c v U G F j a 2 F n Z S 5 4 b W x Q S w E C L Q A U A A I A C A D r l n l N D 8 r p q 6 Q A A A D p A A A A E w A A A A A A A A A A A A A A A A D 0 A A A A W 0 N v b n R l b n R f V H l w Z X N d L n h t b F B L A Q I t A B Q A A g A I A O u W e U 0 B D 1 m q J A E A A A 0 C A A A T A A A A A A A A A A A A A A A A A O U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8 O A A A A A A A A 7 Q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v b m Z p Z 3 N w Z W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9 u Z m l n c 3 B l Y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C 0 x M S 0 y N l Q w M j o 1 N T o y M i 4 2 M T I z N j I z W i I g L z 4 8 R W 5 0 c n k g V H l w Z T 0 i R m l s b E N v b H V t b l R 5 c G V z I i B W Y W x 1 Z T 0 i c 0 F B W U Z B Q V V E Q l F V R k F 3 P T 0 i I C 8 + P E V u d H J 5 I F R 5 c G U 9 I k Z p b G x D b 2 x 1 b W 5 O Y W 1 l c y I g V m F s d W U 9 I n N b J n F 1 b 3 Q 7 Q 2 9 u Z m l n d X J h d G l v b i Z x d W 9 0 O y w m c X V v d D t T Z X Q g U G 9 p b n Q m c X V v d D s s J n F 1 b 3 Q 7 T W F 4 I F R o c n V z d C B Q b 3 d l c i Z x d W 9 0 O y w m c X V v d D t N a W 4 g V G h y d X N 0 I F B v d 2 V y J n F 1 b 3 Q 7 L C Z x d W 9 0 O 0 V m Z m l j a W V u Y 3 k m c X V v d D s s J n F 1 b 3 Q 7 S X N w J n F 1 b 3 Q 7 L C Z x d W 9 0 O 1 R o c n V z d C Z x d W 9 0 O y w m c X V v d D t E c n k g T W F z c y Z x d W 9 0 O y w m c X V v d D t Q c m 9 w Z W x s Y W 5 0 J n F 1 b 3 Q 7 L C Z x d W 9 0 O 1 B h e W x v Y W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Z m l n c 3 B l Y y 9 D a G F u Z 2 V k I F R 5 c G U u e 0 N v b m Z p Z 3 V y Y X R p b 2 4 s M H 0 m c X V v d D s s J n F 1 b 3 Q 7 U 2 V j d G l v b j E v Y 2 9 u Z m l n c 3 B l Y y 9 D a G F u Z 2 V k I F R 5 c G U u e 1 N l d C B Q b 2 l u d C w x f S Z x d W 9 0 O y w m c X V v d D t T Z W N 0 a W 9 u M S 9 j b 2 5 m a W d z c G V j L 0 N o Y W 5 n Z W Q g V H l w Z S 5 7 T W F 4 I F R o c n V z d C B Q b 3 d l c i w y f S Z x d W 9 0 O y w m c X V v d D t T Z W N 0 a W 9 u M S 9 j b 2 5 m a W d z c G V j L 1 N v d X J j Z S 5 7 T W l u I F R o c n V z d C B Q b 3 d l c i w z f S Z x d W 9 0 O y w m c X V v d D t T Z W N 0 a W 9 u M S 9 j b 2 5 m a W d z c G V j L 0 N o Y W 5 n Z W Q g V H l w Z S 5 7 R W Z m a W N p Z W 5 j e S w 0 f S Z x d W 9 0 O y w m c X V v d D t T Z W N 0 a W 9 u M S 9 j b 2 5 m a W d z c G V j L 0 N o Y W 5 n Z W Q g V H l w Z S 5 7 S X N w L D V 9 J n F 1 b 3 Q 7 L C Z x d W 9 0 O 1 N l Y 3 R p b 2 4 x L 2 N v b m Z p Z 3 N w Z W M v Q 2 h h b m d l Z C B U e X B l L n t U a H J 1 c 3 Q s N n 0 m c X V v d D s s J n F 1 b 3 Q 7 U 2 V j d G l v b j E v Y 2 9 u Z m l n c 3 B l Y y 9 D a G F u Z 2 V k I F R 5 c G U u e 0 R y e S B N Y X N z L D d 9 J n F 1 b 3 Q 7 L C Z x d W 9 0 O 1 N l Y 3 R p b 2 4 x L 2 N v b m Z p Z 3 N w Z W M v Q 2 h h b m d l Z C B U e X B l L n t Q c m 9 w Z W x s Y W 5 0 L D h 9 J n F 1 b 3 Q 7 L C Z x d W 9 0 O 1 N l Y 3 R p b 2 4 x L 2 N v b m Z p Z 3 N w Z W M v Q 2 h h b m d l Z C B U e X B l L n t Q Y X l s b 2 F k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j b 2 5 m a W d z c G V j L 0 N o Y W 5 n Z W Q g V H l w Z S 5 7 Q 2 9 u Z m l n d X J h d G l v b i w w f S Z x d W 9 0 O y w m c X V v d D t T Z W N 0 a W 9 u M S 9 j b 2 5 m a W d z c G V j L 0 N o Y W 5 n Z W Q g V H l w Z S 5 7 U 2 V 0 I F B v a W 5 0 L D F 9 J n F 1 b 3 Q 7 L C Z x d W 9 0 O 1 N l Y 3 R p b 2 4 x L 2 N v b m Z p Z 3 N w Z W M v Q 2 h h b m d l Z C B U e X B l L n t N Y X g g V G h y d X N 0 I F B v d 2 V y L D J 9 J n F 1 b 3 Q 7 L C Z x d W 9 0 O 1 N l Y 3 R p b 2 4 x L 2 N v b m Z p Z 3 N w Z W M v U 2 9 1 c m N l L n t N a W 4 g V G h y d X N 0 I F B v d 2 V y L D N 9 J n F 1 b 3 Q 7 L C Z x d W 9 0 O 1 N l Y 3 R p b 2 4 x L 2 N v b m Z p Z 3 N w Z W M v Q 2 h h b m d l Z C B U e X B l L n t F Z m Z p Y 2 l l b m N 5 L D R 9 J n F 1 b 3 Q 7 L C Z x d W 9 0 O 1 N l Y 3 R p b 2 4 x L 2 N v b m Z p Z 3 N w Z W M v Q 2 h h b m d l Z C B U e X B l L n t J c 3 A s N X 0 m c X V v d D s s J n F 1 b 3 Q 7 U 2 V j d G l v b j E v Y 2 9 u Z m l n c 3 B l Y y 9 D a G F u Z 2 V k I F R 5 c G U u e 1 R o c n V z d C w 2 f S Z x d W 9 0 O y w m c X V v d D t T Z W N 0 a W 9 u M S 9 j b 2 5 m a W d z c G V j L 0 N o Y W 5 n Z W Q g V H l w Z S 5 7 R H J 5 I E 1 h c 3 M s N 3 0 m c X V v d D s s J n F 1 b 3 Q 7 U 2 V j d G l v b j E v Y 2 9 u Z m l n c 3 B l Y y 9 D a G F u Z 2 V k I F R 5 c G U u e 1 B y b 3 B l b G x h b n Q s O H 0 m c X V v d D s s J n F 1 b 3 Q 7 U 2 V j d G l v b j E v Y 2 9 u Z m l n c 3 B l Y y 9 D a G F u Z 2 V k I F R 5 c G U u e 1 B h e W x v Y W Q s O X 0 m c X V v d D t d L C Z x d W 9 0 O 1 J l b G F 0 a W 9 u c 2 h p c E l u Z m 8 m c X V v d D s 6 W 1 1 9 I i A v P j x F b n R y e S B U e X B l P S J R d W V y e U l E I i B W Y W x 1 Z T 0 i c 2 J j Y W E 1 M z h i L T M z Z G M t N G U 1 M S 1 h N 2 M 4 L T E 3 O T U 3 N G Q 1 Y j d i M i I g L z 4 8 L 1 N 0 Y W J s Z U V u d H J p Z X M + P C 9 J d G V t P j x J d G V t P j x J d G V t T G 9 j Y X R p b 2 4 + P E l 0 Z W 1 U e X B l P k Z v c m 1 1 b G E 8 L 0 l 0 Z W 1 U e X B l P j x J d G V t U G F 0 a D 5 T Z W N 0 a W 9 u M S 9 j b 2 5 m a W d z c G V j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Z p Z 3 N w Z W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m a W d z c G V j L 0 Z p b H R l c m V k J T I w U m 9 3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S a W Z j o q 6 T b Z s 9 c C a V z K N A A A A A A I A A A A A A B B m A A A A A Q A A I A A A A J L S d g p w Q T C a c F U f 6 k y V V 1 0 j m 3 s j p O / 8 j 2 M K M l Q L A A F m A A A A A A 6 A A A A A A g A A I A A A A F k C T 2 l T j f m u n L i a W T / y Q F B t h p w u e R a H U + u y / y Q 6 B 5 T D U A A A A G q F 2 k + O x m c h H T D 6 N O K h r 3 J J A g B X F J I u M r q L y m 6 Y R + X K J k o X 9 Z 3 n a S U 8 V U U / P O C N X Q t u i B K 4 Z q + g + 4 X K z z 2 5 / 1 F D q S z Z e Z h s 3 F / y L K x 7 n E 6 Y Q A A A A C W T Y G K q z a 3 l x C I 4 W w H 9 M 5 f i u r Y + D T W B 5 Y T n V z 3 c q C M Y 5 W P f h o u L O K M g v g g o Y m A a s F b 9 O v r B D x r O y j 8 j L 7 G 7 U b I = < / D a t a M a s h u p > 
</file>

<file path=customXml/itemProps1.xml><?xml version="1.0" encoding="utf-8"?>
<ds:datastoreItem xmlns:ds="http://schemas.openxmlformats.org/officeDocument/2006/customXml" ds:itemID="{9B76032E-B0DE-44FF-A5F4-025E6E003C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36</vt:i4>
      </vt:variant>
    </vt:vector>
  </HeadingPairs>
  <TitlesOfParts>
    <vt:vector size="48" baseType="lpstr">
      <vt:lpstr>Revisions</vt:lpstr>
      <vt:lpstr>Original Optimization</vt:lpstr>
      <vt:lpstr>Financial Factors</vt:lpstr>
      <vt:lpstr>Cost of Sales</vt:lpstr>
      <vt:lpstr>Mission Params</vt:lpstr>
      <vt:lpstr>350V Set-points</vt:lpstr>
      <vt:lpstr>400V Set-points</vt:lpstr>
      <vt:lpstr>600V Set-points</vt:lpstr>
      <vt:lpstr>800V Set-points</vt:lpstr>
      <vt:lpstr>optimalconfigs</vt:lpstr>
      <vt:lpstr>GMAT</vt:lpstr>
      <vt:lpstr>IRR Cases</vt:lpstr>
      <vt:lpstr>Cost_of_Sales</vt:lpstr>
      <vt:lpstr>Costates</vt:lpstr>
      <vt:lpstr>Criteria</vt:lpstr>
      <vt:lpstr>Delta_V</vt:lpstr>
      <vt:lpstr>Epoch_1</vt:lpstr>
      <vt:lpstr>Epoch_2</vt:lpstr>
      <vt:lpstr>Epoch_3</vt:lpstr>
      <vt:lpstr>Epoch_4</vt:lpstr>
      <vt:lpstr>Final_SMA</vt:lpstr>
      <vt:lpstr>g0</vt:lpstr>
      <vt:lpstr>Inclination1</vt:lpstr>
      <vt:lpstr>Inclination2</vt:lpstr>
      <vt:lpstr>Inclinations</vt:lpstr>
      <vt:lpstr>Inflation</vt:lpstr>
      <vt:lpstr>Initial_Invested</vt:lpstr>
      <vt:lpstr>Initial_SMA</vt:lpstr>
      <vt:lpstr>Launch_Cost</vt:lpstr>
      <vt:lpstr>Life</vt:lpstr>
      <vt:lpstr>Mission_Name</vt:lpstr>
      <vt:lpstr>Prop_Fraction_4063W</vt:lpstr>
      <vt:lpstr>Prop_Fraction_4537W</vt:lpstr>
      <vt:lpstr>Prop_Fraction_4544W</vt:lpstr>
      <vt:lpstr>Prop_Fraction_4563W</vt:lpstr>
      <vt:lpstr>Prop_Fraction_5999W</vt:lpstr>
      <vt:lpstr>Prop_Fraction_6295W</vt:lpstr>
      <vt:lpstr>Prop_Fraction_6327W</vt:lpstr>
      <vt:lpstr>Prop_Fraction_6342W</vt:lpstr>
      <vt:lpstr>Prop_Fraction_8047W</vt:lpstr>
      <vt:lpstr>Prop_Fraction_8058W</vt:lpstr>
      <vt:lpstr>Prop_Fraction_8060W</vt:lpstr>
      <vt:lpstr>Prop_Fraction_8061W</vt:lpstr>
      <vt:lpstr>Provision_Period</vt:lpstr>
      <vt:lpstr>Radius_Earth</vt:lpstr>
      <vt:lpstr>Revenue_per_kg</vt:lpstr>
      <vt:lpstr>Revenue_Per_PL</vt:lpstr>
      <vt:lpstr>Starting_Epoch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chelms@socal.rr.com</dc:creator>
  <cp:lastModifiedBy>colinhelms@outlook.com</cp:lastModifiedBy>
  <cp:lastPrinted>2018-10-24T17:02:08Z</cp:lastPrinted>
  <dcterms:created xsi:type="dcterms:W3CDTF">2018-05-28T14:04:31Z</dcterms:created>
  <dcterms:modified xsi:type="dcterms:W3CDTF">2019-03-07T06:26:58Z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fraction" linkTarget="Prop_fraction">
    <vt:r8>0</vt:r8>
  </property>
  <property fmtid="{D5CDD505-2E9C-101B-9397-08002B2CF9AE}" pid="3" name="Fraction_4063W" linkTarget="Prop_Fraction_4063W">
    <vt:r8>0.29227279535099</vt:r8>
  </property>
  <property fmtid="{D5CDD505-2E9C-101B-9397-08002B2CF9AE}" pid="4" name="Fraction_4537W" linkTarget="Prop_Fraction_4537W">
    <vt:r8>0.166791622214351</vt:r8>
  </property>
  <property fmtid="{D5CDD505-2E9C-101B-9397-08002B2CF9AE}" pid="5" name="Fraction_4544W" linkTarget="Prop_Fraction_4544W">
    <vt:r8>0.210803784042325</vt:r8>
  </property>
  <property fmtid="{D5CDD505-2E9C-101B-9397-08002B2CF9AE}" pid="6" name="Fraction_4563W" linkTarget="Prop_Fraction_4563W">
    <vt:r8>0.206070236986786</vt:r8>
  </property>
  <property fmtid="{D5CDD505-2E9C-101B-9397-08002B2CF9AE}" pid="7" name="Fraction_5999W" linkTarget="Prop_Fraction_5999W">
    <vt:r8>0.268563617651043</vt:r8>
  </property>
  <property fmtid="{D5CDD505-2E9C-101B-9397-08002B2CF9AE}" pid="8" name="Fraction_6295W" linkTarget="Prop_Fraction_6295W">
    <vt:r8>0.283919987817034</vt:r8>
  </property>
  <property fmtid="{D5CDD505-2E9C-101B-9397-08002B2CF9AE}" pid="9" name="Fraction_6327W" linkTarget="Prop_Fraction_6327W">
    <vt:r8>0.169707480671495</vt:r8>
  </property>
  <property fmtid="{D5CDD505-2E9C-101B-9397-08002B2CF9AE}" pid="10" name="Fraction_6342W" linkTarget="Prop_Fraction_6342W">
    <vt:r8>0.283595749257965</vt:r8>
  </property>
  <property fmtid="{D5CDD505-2E9C-101B-9397-08002B2CF9AE}" pid="11" name="Fraction_8047W" linkTarget="Prop_Fraction_8047W">
    <vt:r8>0.249649582495399</vt:r8>
  </property>
  <property fmtid="{D5CDD505-2E9C-101B-9397-08002B2CF9AE}" pid="12" name="Fraction_8058W" linkTarget="Prop_Fraction_8058W">
    <vt:r8>0.174738445629696</vt:r8>
  </property>
  <property fmtid="{D5CDD505-2E9C-101B-9397-08002B2CF9AE}" pid="13" name="Fraction_8060W" linkTarget="Prop_Fraction_8060W">
    <vt:r8>0.201134994219763</vt:r8>
  </property>
  <property fmtid="{D5CDD505-2E9C-101B-9397-08002B2CF9AE}" pid="14" name="Fraction_8061W" linkTarget="Prop_Fraction_8061W">
    <vt:r8>0.256356684049918</vt:r8>
  </property>
  <property fmtid="{D5CDD505-2E9C-101B-9397-08002B2CF9AE}" pid="15" name="per_mission" linkTarget="Prop_per_mission">
    <vt:lpwstr>#REF!</vt:lpwstr>
  </property>
  <property fmtid="{D5CDD505-2E9C-101B-9397-08002B2CF9AE}" pid="16" name="reserve" linkTarget="Prop_reserve">
    <vt:lpwstr>#REF!</vt:lpwstr>
  </property>
</Properties>
</file>