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-my.sharepoint.com/personal/timothy_cenna_progressive_com/Documents/My Documents/Analyst Boot Camp/"/>
    </mc:Choice>
  </mc:AlternateContent>
  <xr:revisionPtr revIDLastSave="897" documentId="13_ncr:1_{DF439878-570E-4F69-910A-C6C20A1B40A3}" xr6:coauthVersionLast="47" xr6:coauthVersionMax="47" xr10:uidLastSave="{4061BA85-D408-4E05-8483-192ABDF99F3C}"/>
  <bookViews>
    <workbookView xWindow="-98" yWindow="-98" windowWidth="14595" windowHeight="7695" firstSheet="15" activeTab="20" xr2:uid="{00000000-000D-0000-FFFF-FFFF00000000}"/>
  </bookViews>
  <sheets>
    <sheet name="Original" sheetId="1" state="hidden" r:id="rId1"/>
    <sheet name="OrdOps" sheetId="27" r:id="rId2"/>
    <sheet name="SqR_Exp" sheetId="28" r:id="rId3"/>
    <sheet name="Avg" sheetId="43" r:id="rId4"/>
    <sheet name="SD" sheetId="29" r:id="rId5"/>
    <sheet name="WtdAvg" sheetId="11" r:id="rId6"/>
    <sheet name="MovAvg" sheetId="31" r:id="rId7"/>
    <sheet name="GrowthRate" sheetId="22" r:id="rId8"/>
    <sheet name="Index" sheetId="32" r:id="rId9"/>
    <sheet name="Rebase" sheetId="33" r:id="rId10"/>
    <sheet name="MeanMed" sheetId="34" r:id="rId11"/>
    <sheet name="Display" sheetId="35" r:id="rId12"/>
    <sheet name="OutLr1" sheetId="19" r:id="rId13"/>
    <sheet name="Outlr2" sheetId="36" r:id="rId14"/>
    <sheet name="Corr1" sheetId="10" r:id="rId15"/>
    <sheet name="Corr2" sheetId="13" r:id="rId16"/>
    <sheet name="LinEq" sheetId="30" r:id="rId17"/>
    <sheet name="LinReg" sheetId="17" r:id="rId18"/>
    <sheet name="OutlierLinReg" sheetId="20" r:id="rId19"/>
    <sheet name="NormDist" sheetId="37" r:id="rId20"/>
    <sheet name="2 dice" sheetId="46" r:id="rId21"/>
    <sheet name="Z-score" sheetId="38" r:id="rId22"/>
    <sheet name="CLT1" sheetId="25" r:id="rId23"/>
    <sheet name="CLT2" sheetId="26" r:id="rId24"/>
    <sheet name="HypTest" sheetId="39" r:id="rId25"/>
    <sheet name="ConfInt" sheetId="40" r:id="rId26"/>
    <sheet name="tDist" sheetId="41" r:id="rId27"/>
    <sheet name="tTable" sheetId="42" r:id="rId28"/>
    <sheet name="Sheet1" sheetId="44" r:id="rId29"/>
    <sheet name="Sheet2" sheetId="45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5" l="1"/>
  <c r="F1" i="45" s="1"/>
  <c r="E15" i="44"/>
  <c r="E14" i="44"/>
  <c r="E13" i="44"/>
  <c r="E12" i="44"/>
  <c r="E11" i="44"/>
  <c r="E10" i="44"/>
  <c r="E9" i="44"/>
  <c r="E8" i="44"/>
  <c r="E7" i="44"/>
  <c r="E6" i="44"/>
  <c r="R9" i="43"/>
  <c r="N9" i="43"/>
  <c r="R8" i="43"/>
  <c r="N8" i="43"/>
  <c r="R7" i="43"/>
  <c r="N7" i="43"/>
  <c r="N9" i="33"/>
  <c r="D1" i="45" l="1"/>
  <c r="L20" i="38"/>
  <c r="L18" i="38"/>
  <c r="L16" i="38"/>
  <c r="L14" i="38"/>
  <c r="L12" i="38"/>
  <c r="L10" i="38"/>
  <c r="L8" i="38"/>
  <c r="L6" i="38"/>
  <c r="L20" i="37"/>
  <c r="K20" i="37"/>
  <c r="L18" i="37"/>
  <c r="L16" i="37"/>
  <c r="L14" i="37"/>
  <c r="K18" i="37"/>
  <c r="K16" i="37"/>
  <c r="L12" i="37"/>
  <c r="L10" i="37"/>
  <c r="L6" i="37"/>
  <c r="K14" i="37"/>
  <c r="K12" i="37"/>
  <c r="K10" i="37"/>
  <c r="Q3" i="37"/>
  <c r="K3" i="37"/>
  <c r="P3" i="37"/>
  <c r="O3" i="37"/>
  <c r="L3" i="37"/>
  <c r="M3" i="3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2" i="11"/>
  <c r="A3" i="36"/>
  <c r="A4" i="36" s="1"/>
  <c r="A5" i="36" s="1"/>
  <c r="A6" i="36" s="1"/>
  <c r="A7" i="36" s="1"/>
  <c r="A8" i="36" s="1"/>
  <c r="U17" i="19"/>
  <c r="W17" i="19" s="1"/>
  <c r="Q17" i="19"/>
  <c r="U16" i="19"/>
  <c r="W16" i="19" s="1"/>
  <c r="Q16" i="19"/>
  <c r="A9" i="36" l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Q11" i="34"/>
  <c r="Q10" i="34"/>
  <c r="Q9" i="34"/>
  <c r="Q8" i="34"/>
  <c r="Q7" i="34"/>
  <c r="R12" i="34"/>
  <c r="P13" i="34"/>
  <c r="R13" i="34" s="1"/>
  <c r="O13" i="34"/>
  <c r="P12" i="34"/>
  <c r="O12" i="34"/>
  <c r="P4" i="33"/>
  <c r="O5" i="33" s="1"/>
  <c r="N10" i="32"/>
  <c r="N11" i="32" s="1"/>
  <c r="M10" i="32"/>
  <c r="M11" i="32" s="1"/>
  <c r="L10" i="32"/>
  <c r="L11" i="32" s="1"/>
  <c r="K10" i="32"/>
  <c r="K11" i="32" s="1"/>
  <c r="J10" i="32"/>
  <c r="J11" i="32" s="1"/>
  <c r="N5" i="32"/>
  <c r="N6" i="32" s="1"/>
  <c r="M5" i="32"/>
  <c r="M6" i="32" s="1"/>
  <c r="L5" i="32"/>
  <c r="L6" i="32" s="1"/>
  <c r="K5" i="32"/>
  <c r="K6" i="32" s="1"/>
  <c r="J5" i="32"/>
  <c r="J6" i="32" s="1"/>
  <c r="A13" i="3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O13" i="3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P25" i="31"/>
  <c r="P24" i="31"/>
  <c r="P23" i="31"/>
  <c r="P35" i="31" s="1"/>
  <c r="P22" i="31"/>
  <c r="P34" i="31" s="1"/>
  <c r="P21" i="31"/>
  <c r="P20" i="31"/>
  <c r="P19" i="31"/>
  <c r="P31" i="31" s="1"/>
  <c r="P18" i="31"/>
  <c r="P30" i="31" s="1"/>
  <c r="P17" i="31"/>
  <c r="P16" i="31"/>
  <c r="P15" i="31"/>
  <c r="P27" i="31" s="1"/>
  <c r="Q14" i="31"/>
  <c r="P14" i="31"/>
  <c r="Q25" i="31" s="1"/>
  <c r="K5" i="33" l="1"/>
  <c r="L5" i="33"/>
  <c r="M5" i="33"/>
  <c r="N5" i="33"/>
  <c r="Q18" i="31"/>
  <c r="Q22" i="31"/>
  <c r="Q26" i="31"/>
  <c r="Q19" i="31"/>
  <c r="Q23" i="31"/>
  <c r="P26" i="31"/>
  <c r="P28" i="31"/>
  <c r="P32" i="31"/>
  <c r="P36" i="31"/>
  <c r="Q15" i="31"/>
  <c r="Q16" i="31"/>
  <c r="Q20" i="31"/>
  <c r="Q24" i="31"/>
  <c r="P29" i="31"/>
  <c r="P33" i="31"/>
  <c r="P37" i="31"/>
  <c r="Q17" i="31"/>
  <c r="Q21" i="31"/>
  <c r="B25" i="31"/>
  <c r="B37" i="31" s="1"/>
  <c r="B24" i="31"/>
  <c r="B36" i="31" s="1"/>
  <c r="B23" i="31"/>
  <c r="B35" i="31" s="1"/>
  <c r="B22" i="31"/>
  <c r="B34" i="31" s="1"/>
  <c r="B21" i="31"/>
  <c r="B33" i="31" s="1"/>
  <c r="B20" i="31"/>
  <c r="B32" i="31" s="1"/>
  <c r="B19" i="31"/>
  <c r="B31" i="31" s="1"/>
  <c r="B18" i="31"/>
  <c r="B30" i="31" s="1"/>
  <c r="B17" i="31"/>
  <c r="B29" i="31" s="1"/>
  <c r="B16" i="31"/>
  <c r="B28" i="31" s="1"/>
  <c r="B15" i="31"/>
  <c r="B27" i="31" s="1"/>
  <c r="B14" i="31"/>
  <c r="K12" i="11"/>
  <c r="K8" i="11"/>
  <c r="J17" i="22"/>
  <c r="J16" i="22"/>
  <c r="J15" i="22"/>
  <c r="J14" i="22"/>
  <c r="J13" i="22"/>
  <c r="J12" i="22"/>
  <c r="J11" i="22"/>
  <c r="J10" i="22"/>
  <c r="J4" i="22"/>
  <c r="J6" i="22"/>
  <c r="J5" i="22"/>
  <c r="R7" i="29"/>
  <c r="R6" i="29"/>
  <c r="R5" i="29"/>
  <c r="N7" i="29"/>
  <c r="N6" i="29"/>
  <c r="N5" i="29"/>
  <c r="J18" i="28"/>
  <c r="J17" i="28"/>
  <c r="J20" i="28"/>
  <c r="J19" i="28"/>
  <c r="J16" i="28"/>
  <c r="J11" i="28"/>
  <c r="J9" i="28"/>
  <c r="J8" i="28"/>
  <c r="J7" i="28"/>
  <c r="J6" i="28"/>
  <c r="J5" i="28"/>
  <c r="J4" i="28"/>
  <c r="Q32" i="31" l="1"/>
  <c r="Q35" i="31"/>
  <c r="Q37" i="31"/>
  <c r="Q28" i="31"/>
  <c r="Q29" i="31"/>
  <c r="Q27" i="31"/>
  <c r="Q34" i="31"/>
  <c r="Q31" i="31"/>
  <c r="Q36" i="31"/>
  <c r="Q30" i="31"/>
  <c r="Q33" i="31"/>
  <c r="B26" i="31"/>
  <c r="R15" i="10" l="1"/>
  <c r="R16" i="10" s="1"/>
  <c r="R10" i="10"/>
  <c r="R6" i="10"/>
  <c r="R7" i="10" s="1"/>
  <c r="R2" i="10"/>
  <c r="R3" i="10" s="1"/>
  <c r="N18" i="26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U31" i="25"/>
  <c r="T31" i="25"/>
  <c r="S31" i="25"/>
  <c r="R31" i="25"/>
  <c r="Q31" i="25"/>
  <c r="P31" i="25"/>
  <c r="O31" i="25"/>
  <c r="N31" i="25"/>
  <c r="M31" i="25"/>
  <c r="L31" i="25"/>
  <c r="U30" i="25"/>
  <c r="T30" i="25"/>
  <c r="S30" i="25"/>
  <c r="R30" i="25"/>
  <c r="Q30" i="25"/>
  <c r="P30" i="25"/>
  <c r="O30" i="25"/>
  <c r="N30" i="25"/>
  <c r="M30" i="25"/>
  <c r="L30" i="25"/>
  <c r="U29" i="25"/>
  <c r="T29" i="25"/>
  <c r="S29" i="25"/>
  <c r="R29" i="25"/>
  <c r="Q29" i="25"/>
  <c r="P29" i="25"/>
  <c r="O29" i="25"/>
  <c r="N29" i="25"/>
  <c r="M29" i="25"/>
  <c r="L29" i="25"/>
  <c r="U28" i="25"/>
  <c r="T28" i="25"/>
  <c r="S28" i="25"/>
  <c r="R28" i="25"/>
  <c r="Q28" i="25"/>
  <c r="P28" i="25"/>
  <c r="O28" i="25"/>
  <c r="N28" i="25"/>
  <c r="M28" i="25"/>
  <c r="L28" i="25"/>
  <c r="U27" i="25"/>
  <c r="T27" i="25"/>
  <c r="S27" i="25"/>
  <c r="R27" i="25"/>
  <c r="Q27" i="25"/>
  <c r="P27" i="25"/>
  <c r="O27" i="25"/>
  <c r="N27" i="25"/>
  <c r="M27" i="25"/>
  <c r="L27" i="25"/>
  <c r="U26" i="25"/>
  <c r="T26" i="25"/>
  <c r="S26" i="25"/>
  <c r="R26" i="25"/>
  <c r="Q26" i="25"/>
  <c r="P26" i="25"/>
  <c r="O26" i="25"/>
  <c r="N26" i="25"/>
  <c r="M26" i="25"/>
  <c r="L26" i="25"/>
  <c r="U25" i="25"/>
  <c r="T25" i="25"/>
  <c r="S25" i="25"/>
  <c r="R25" i="25"/>
  <c r="Q25" i="25"/>
  <c r="P25" i="25"/>
  <c r="O25" i="25"/>
  <c r="N25" i="25"/>
  <c r="M25" i="25"/>
  <c r="L25" i="25"/>
  <c r="U24" i="25"/>
  <c r="T24" i="25"/>
  <c r="S24" i="25"/>
  <c r="R24" i="25"/>
  <c r="Q24" i="25"/>
  <c r="P24" i="25"/>
  <c r="O24" i="25"/>
  <c r="N24" i="25"/>
  <c r="M24" i="25"/>
  <c r="L24" i="25"/>
  <c r="U23" i="25"/>
  <c r="T23" i="25"/>
  <c r="S23" i="25"/>
  <c r="R23" i="25"/>
  <c r="Q23" i="25"/>
  <c r="P23" i="25"/>
  <c r="O23" i="25"/>
  <c r="N23" i="25"/>
  <c r="M23" i="25"/>
  <c r="L23" i="25"/>
  <c r="U22" i="25"/>
  <c r="T22" i="25"/>
  <c r="S22" i="25"/>
  <c r="R22" i="25"/>
  <c r="Q22" i="25"/>
  <c r="P22" i="25"/>
  <c r="O22" i="25"/>
  <c r="N22" i="25"/>
  <c r="M22" i="25"/>
  <c r="L22" i="25"/>
  <c r="U21" i="25"/>
  <c r="T21" i="25"/>
  <c r="S21" i="25"/>
  <c r="R21" i="25"/>
  <c r="Q21" i="25"/>
  <c r="P21" i="25"/>
  <c r="O21" i="25"/>
  <c r="N21" i="25"/>
  <c r="M21" i="25"/>
  <c r="L21" i="25"/>
  <c r="U20" i="25"/>
  <c r="T20" i="25"/>
  <c r="S20" i="25"/>
  <c r="R20" i="25"/>
  <c r="Q20" i="25"/>
  <c r="P20" i="25"/>
  <c r="O20" i="25"/>
  <c r="N20" i="25"/>
  <c r="M20" i="25"/>
  <c r="L20" i="25"/>
  <c r="U19" i="25"/>
  <c r="T19" i="25"/>
  <c r="S19" i="25"/>
  <c r="R19" i="25"/>
  <c r="Q19" i="25"/>
  <c r="P19" i="25"/>
  <c r="O19" i="25"/>
  <c r="N19" i="25"/>
  <c r="M19" i="25"/>
  <c r="L19" i="25"/>
  <c r="U18" i="25"/>
  <c r="T18" i="25"/>
  <c r="S18" i="25"/>
  <c r="R18" i="25"/>
  <c r="Q18" i="25"/>
  <c r="P18" i="25"/>
  <c r="O18" i="25"/>
  <c r="N18" i="25"/>
  <c r="M18" i="25"/>
  <c r="L18" i="25"/>
  <c r="U17" i="25"/>
  <c r="T17" i="25"/>
  <c r="S17" i="25"/>
  <c r="R17" i="25"/>
  <c r="Q17" i="25"/>
  <c r="P17" i="25"/>
  <c r="O17" i="25"/>
  <c r="N17" i="25"/>
  <c r="M17" i="25"/>
  <c r="L17" i="25"/>
  <c r="U16" i="25"/>
  <c r="T16" i="25"/>
  <c r="S16" i="25"/>
  <c r="R16" i="25"/>
  <c r="Q16" i="25"/>
  <c r="P16" i="25"/>
  <c r="O16" i="25"/>
  <c r="N16" i="25"/>
  <c r="M16" i="25"/>
  <c r="L16" i="25"/>
  <c r="U15" i="25"/>
  <c r="T15" i="25"/>
  <c r="S15" i="25"/>
  <c r="R15" i="25"/>
  <c r="Q15" i="25"/>
  <c r="P15" i="25"/>
  <c r="O15" i="25"/>
  <c r="N15" i="25"/>
  <c r="M15" i="25"/>
  <c r="L15" i="25"/>
  <c r="U14" i="25"/>
  <c r="T14" i="25"/>
  <c r="S14" i="25"/>
  <c r="R14" i="25"/>
  <c r="Q14" i="25"/>
  <c r="P14" i="25"/>
  <c r="O14" i="25"/>
  <c r="N14" i="25"/>
  <c r="M14" i="25"/>
  <c r="L14" i="25"/>
  <c r="U13" i="25"/>
  <c r="T13" i="25"/>
  <c r="S13" i="25"/>
  <c r="R13" i="25"/>
  <c r="Q13" i="25"/>
  <c r="P13" i="25"/>
  <c r="O13" i="25"/>
  <c r="N13" i="25"/>
  <c r="M13" i="25"/>
  <c r="L13" i="25"/>
  <c r="U12" i="25"/>
  <c r="T12" i="25"/>
  <c r="S12" i="25"/>
  <c r="R12" i="25"/>
  <c r="Q12" i="25"/>
  <c r="P12" i="25"/>
  <c r="O12" i="25"/>
  <c r="N12" i="25"/>
  <c r="M12" i="25"/>
  <c r="L12" i="25"/>
  <c r="U11" i="25"/>
  <c r="T11" i="25"/>
  <c r="S11" i="25"/>
  <c r="R11" i="25"/>
  <c r="Q11" i="25"/>
  <c r="P11" i="25"/>
  <c r="O11" i="25"/>
  <c r="N11" i="25"/>
  <c r="M11" i="25"/>
  <c r="L11" i="25"/>
  <c r="U10" i="25"/>
  <c r="T10" i="25"/>
  <c r="S10" i="25"/>
  <c r="R10" i="25"/>
  <c r="Q10" i="25"/>
  <c r="P10" i="25"/>
  <c r="O10" i="25"/>
  <c r="N10" i="25"/>
  <c r="M10" i="25"/>
  <c r="L10" i="25"/>
  <c r="U9" i="25"/>
  <c r="T9" i="25"/>
  <c r="S9" i="25"/>
  <c r="R9" i="25"/>
  <c r="Q9" i="25"/>
  <c r="P9" i="25"/>
  <c r="O9" i="25"/>
  <c r="N9" i="25"/>
  <c r="M9" i="25"/>
  <c r="L9" i="25"/>
  <c r="U8" i="25"/>
  <c r="T8" i="25"/>
  <c r="S8" i="25"/>
  <c r="R8" i="25"/>
  <c r="Q8" i="25"/>
  <c r="P8" i="25"/>
  <c r="O8" i="25"/>
  <c r="N8" i="25"/>
  <c r="M8" i="25"/>
  <c r="L8" i="25"/>
  <c r="U7" i="25"/>
  <c r="T7" i="25"/>
  <c r="S7" i="25"/>
  <c r="R7" i="25"/>
  <c r="Q7" i="25"/>
  <c r="P7" i="25"/>
  <c r="O7" i="25"/>
  <c r="N7" i="25"/>
  <c r="M7" i="25"/>
  <c r="L7" i="25"/>
  <c r="U6" i="25"/>
  <c r="T6" i="25"/>
  <c r="S6" i="25"/>
  <c r="R6" i="25"/>
  <c r="Q6" i="25"/>
  <c r="P6" i="25"/>
  <c r="O6" i="25"/>
  <c r="N6" i="25"/>
  <c r="M6" i="25"/>
  <c r="L6" i="25"/>
  <c r="U5" i="25"/>
  <c r="T5" i="25"/>
  <c r="S5" i="25"/>
  <c r="R5" i="25"/>
  <c r="Q5" i="25"/>
  <c r="P5" i="25"/>
  <c r="O5" i="25"/>
  <c r="N5" i="25"/>
  <c r="M5" i="25"/>
  <c r="L5" i="25"/>
  <c r="U4" i="25"/>
  <c r="T4" i="25"/>
  <c r="S4" i="25"/>
  <c r="R4" i="25"/>
  <c r="Q4" i="25"/>
  <c r="P4" i="25"/>
  <c r="O4" i="25"/>
  <c r="N4" i="25"/>
  <c r="M4" i="25"/>
  <c r="L4" i="25"/>
  <c r="D4" i="25"/>
  <c r="D5" i="25" s="1"/>
  <c r="U3" i="25"/>
  <c r="T3" i="25"/>
  <c r="S3" i="25"/>
  <c r="R3" i="25"/>
  <c r="Q3" i="25"/>
  <c r="P3" i="25"/>
  <c r="O3" i="25"/>
  <c r="N3" i="25"/>
  <c r="M3" i="25"/>
  <c r="L3" i="25"/>
  <c r="U2" i="25"/>
  <c r="T2" i="25"/>
  <c r="S2" i="25"/>
  <c r="R2" i="25"/>
  <c r="Q2" i="25"/>
  <c r="P2" i="25"/>
  <c r="O2" i="25"/>
  <c r="N2" i="25"/>
  <c r="M2" i="25"/>
  <c r="L2" i="25"/>
  <c r="J7" i="25" l="1"/>
  <c r="J2" i="25"/>
  <c r="J9" i="25"/>
  <c r="J3" i="25"/>
  <c r="J11" i="25"/>
  <c r="J8" i="25"/>
  <c r="J10" i="25"/>
  <c r="J4" i="25"/>
  <c r="J5" i="25"/>
  <c r="J6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J14" i="25" l="1"/>
  <c r="J13" i="25"/>
  <c r="G3" i="25"/>
  <c r="G4" i="25"/>
  <c r="G7" i="25" s="1"/>
  <c r="G2" i="25"/>
  <c r="G9" i="25" l="1"/>
  <c r="G8" i="25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</calcChain>
</file>

<file path=xl/sharedStrings.xml><?xml version="1.0" encoding="utf-8"?>
<sst xmlns="http://schemas.openxmlformats.org/spreadsheetml/2006/main" count="570" uniqueCount="445">
  <si>
    <t>Year Month</t>
  </si>
  <si>
    <t>FL</t>
  </si>
  <si>
    <t>GA</t>
  </si>
  <si>
    <t>TX</t>
  </si>
  <si>
    <t>January 2019</t>
  </si>
  <si>
    <t>Index</t>
  </si>
  <si>
    <t>February 2019</t>
  </si>
  <si>
    <t>Outliers with different functions</t>
  </si>
  <si>
    <t>March 2019</t>
  </si>
  <si>
    <t>Plotting</t>
  </si>
  <si>
    <t>April 2019</t>
  </si>
  <si>
    <t>Trend</t>
  </si>
  <si>
    <t>May 2019</t>
  </si>
  <si>
    <t>Show the equation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</si>
  <si>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</si>
  <si>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</si>
  <si>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</si>
  <si>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</si>
  <si>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</si>
  <si>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</si>
  <si>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</si>
  <si>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</si>
  <si>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</si>
  <si>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</si>
  <si>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</si>
  <si>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</si>
  <si>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</si>
  <si>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</si>
  <si>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</si>
  <si>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</si>
  <si>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</si>
  <si>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</si>
  <si>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</si>
  <si>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</si>
  <si>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</si>
  <si>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</si>
  <si>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</si>
  <si>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</si>
  <si>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</si>
  <si>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</si>
  <si>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Mean</t>
  </si>
  <si>
    <t>Median</t>
  </si>
  <si>
    <t>Model Year</t>
  </si>
  <si>
    <t>Odometer</t>
  </si>
  <si>
    <t>Model Year = manufacture year of the vehicle</t>
  </si>
  <si>
    <t>Compute the CORRELATION between Model Year and Odometer.</t>
  </si>
  <si>
    <t xml:space="preserve">CORR = 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</si>
  <si>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</si>
  <si>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</si>
  <si>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</si>
  <si>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</si>
  <si>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</si>
  <si>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</si>
  <si>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</si>
  <si>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</si>
  <si>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</si>
  <si>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</si>
  <si>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</si>
  <si>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</si>
  <si>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</si>
  <si>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</si>
  <si>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</si>
  <si>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</si>
  <si>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</si>
  <si>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</si>
  <si>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</si>
  <si>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</si>
  <si>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</si>
  <si>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</si>
  <si>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</si>
  <si>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</si>
  <si>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</si>
  <si>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</si>
  <si>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</si>
  <si>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</si>
  <si>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</si>
  <si>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</si>
  <si>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</si>
  <si>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</si>
  <si>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</si>
  <si>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</si>
  <si>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</si>
  <si>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</si>
  <si>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</si>
  <si>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</si>
  <si>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</si>
  <si>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</si>
  <si>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</si>
  <si>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</si>
  <si>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</si>
  <si>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VA</t>
  </si>
  <si>
    <t>VT</t>
  </si>
  <si>
    <t>WA</t>
  </si>
  <si>
    <t>WI</t>
  </si>
  <si>
    <t>WV</t>
  </si>
  <si>
    <t>WY</t>
  </si>
  <si>
    <t>X</t>
  </si>
  <si>
    <t>x</t>
  </si>
  <si>
    <t>Y</t>
  </si>
  <si>
    <t>Z</t>
  </si>
  <si>
    <t>Q</t>
  </si>
  <si>
    <t>Create Q by reversing the order of the Y values.</t>
  </si>
  <si>
    <t>What is the linear correlation between X and Q?</t>
  </si>
  <si>
    <t>How much of the variation in Q can be associated with the variation in X?</t>
  </si>
  <si>
    <t>What is the linear correlation between X and Y?</t>
  </si>
  <si>
    <t>How much of the variation in Y can be associated with the variation in X?</t>
  </si>
  <si>
    <t>What is the linear correlation between X and Z?</t>
  </si>
  <si>
    <t>How much of the variation in Z can be associated with the variation in X?</t>
  </si>
  <si>
    <t>Use your intuition. Estimate the correlation between Y and Z?</t>
  </si>
  <si>
    <t>Odometer = the odometer mileage reading on the vehicle</t>
  </si>
  <si>
    <t>This is a sample of 90 data points from a population of 1MM policies</t>
  </si>
  <si>
    <t>Graph a Scatter Plot to visualize the relationship.</t>
  </si>
  <si>
    <t>Insert the equation of the variables.</t>
  </si>
  <si>
    <t>Insert the r-square of the relationship.</t>
  </si>
  <si>
    <t>Format graph</t>
  </si>
  <si>
    <t>Format plot area</t>
  </si>
  <si>
    <t>Font size</t>
  </si>
  <si>
    <t>Bold</t>
  </si>
  <si>
    <t>EARNED PREMIUM</t>
  </si>
  <si>
    <r>
      <t>LOSS AMOUNT (</t>
    </r>
    <r>
      <rPr>
        <b/>
        <sz val="11"/>
        <color rgb="FFFF0000"/>
        <rFont val="Calibri"/>
        <family val="2"/>
      </rPr>
      <t>Modifications in Red</t>
    </r>
    <r>
      <rPr>
        <b/>
        <sz val="11"/>
        <rFont val="Calibri"/>
        <family val="2"/>
      </rPr>
      <t>)</t>
    </r>
  </si>
  <si>
    <t>SUM(LOSS AMT)</t>
  </si>
  <si>
    <t>SUM (EP)</t>
  </si>
  <si>
    <t>This is the second way to get the weighted average</t>
  </si>
  <si>
    <t>sum(B2:B52)</t>
  </si>
  <si>
    <t>sumproduct(B2:B52,D2:D52)</t>
  </si>
  <si>
    <t>Weight in %</t>
  </si>
  <si>
    <t>sumproduct(f2:f52,D2:D52)</t>
  </si>
  <si>
    <t>This is the first way to get the weighted average</t>
  </si>
  <si>
    <t>This is the third way to get the weighted average</t>
  </si>
  <si>
    <t>Which way gives more insight into what is happening?</t>
  </si>
  <si>
    <t>You should know all 3 ways in case someone does it differently than you,</t>
  </si>
  <si>
    <t xml:space="preserve">Which way do you prefer to calculate weighted average? </t>
  </si>
  <si>
    <t>These exercises are to enrich your understanding of weighted average</t>
  </si>
  <si>
    <t>These 5 states carry the most weight, by EP:   FL  TX  NY  CA  MI</t>
  </si>
  <si>
    <t>Change</t>
  </si>
  <si>
    <t>Net premiums written</t>
  </si>
  <si>
    <t>Net premiums earned</t>
  </si>
  <si>
    <t>Net income</t>
  </si>
  <si>
    <t>Agency – auto</t>
  </si>
  <si>
    <t>Direct – auto</t>
  </si>
  <si>
    <t>Total personal auto</t>
  </si>
  <si>
    <t>Total special lines</t>
  </si>
  <si>
    <t>Total Personal Lines</t>
  </si>
  <si>
    <t>Total Commercial Lines</t>
  </si>
  <si>
    <t>Total Property business</t>
  </si>
  <si>
    <t>Companywide Total</t>
  </si>
  <si>
    <t xml:space="preserve">In millions of dollars </t>
  </si>
  <si>
    <t>% Change</t>
  </si>
  <si>
    <t>Policies in Force (in thousands)</t>
  </si>
  <si>
    <t>This is the unweighted average</t>
  </si>
  <si>
    <t>Uniform Distribution</t>
  </si>
  <si>
    <t xml:space="preserve">Obs </t>
  </si>
  <si>
    <t>Population</t>
  </si>
  <si>
    <t>Samples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</si>
  <si>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</si>
  <si>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</si>
  <si>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</si>
  <si>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</si>
  <si>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</si>
  <si>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</si>
  <si>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</si>
  <si>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</si>
  <si>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</si>
  <si>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</si>
  <si>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N</t>
  </si>
  <si>
    <t>avg1</t>
  </si>
  <si>
    <t>avg</t>
  </si>
  <si>
    <t>avg2</t>
  </si>
  <si>
    <t>sd</t>
  </si>
  <si>
    <t>avg3</t>
  </si>
  <si>
    <t>avg4</t>
  </si>
  <si>
    <t>n</t>
  </si>
  <si>
    <t>avg5</t>
  </si>
  <si>
    <t>sdm</t>
  </si>
  <si>
    <t>avg6</t>
  </si>
  <si>
    <t>avg+2sdm</t>
  </si>
  <si>
    <t>avg7</t>
  </si>
  <si>
    <t>avg-2sdm</t>
  </si>
  <si>
    <t>avg8</t>
  </si>
  <si>
    <t>avg9</t>
  </si>
  <si>
    <t>Normal Distribution</t>
  </si>
  <si>
    <t>avg10</t>
  </si>
  <si>
    <t>0-39</t>
  </si>
  <si>
    <t>62-100</t>
  </si>
  <si>
    <t>Averages (means) of Samples of Size n = 30</t>
  </si>
  <si>
    <t>Bar Chart (Histogram) of the Sample Means</t>
  </si>
  <si>
    <t>Title: explains the message</t>
  </si>
  <si>
    <t>50 + 50 x 0 + 2 x 2</t>
  </si>
  <si>
    <t>50 + 0 + 2 x 2</t>
  </si>
  <si>
    <t>50 + 0 + 4</t>
  </si>
  <si>
    <t xml:space="preserve">note: a(b) is shorthand </t>
  </si>
  <si>
    <t>for a x b</t>
  </si>
  <si>
    <t>3 + [4(5 - 4 + 1)]^2 / 8 x 2</t>
  </si>
  <si>
    <t>3 + [4 x 2]^2 /8 x 2</t>
  </si>
  <si>
    <t>3 + 8^2 / 8 x 2</t>
  </si>
  <si>
    <t>3 + 64 / 8 x 2</t>
  </si>
  <si>
    <t>3 +     8    x    2</t>
  </si>
  <si>
    <t>3 + 16</t>
  </si>
  <si>
    <t>(5-7)^2  +  (9-7 )^2  + (10-7)^2</t>
  </si>
  <si>
    <t>(-2)^2  +  (2)^2  + (3)^2</t>
  </si>
  <si>
    <t>4          +    4       +    9</t>
  </si>
  <si>
    <t>Answers</t>
  </si>
  <si>
    <t>Find the square roots using the excel SQRT function:</t>
  </si>
  <si>
    <t xml:space="preserve">a.   </t>
  </si>
  <si>
    <t xml:space="preserve">b.   </t>
  </si>
  <si>
    <t xml:space="preserve">c.   </t>
  </si>
  <si>
    <t xml:space="preserve">d.  </t>
  </si>
  <si>
    <t xml:space="preserve">e.   </t>
  </si>
  <si>
    <t xml:space="preserve">f.   </t>
  </si>
  <si>
    <t>g.</t>
  </si>
  <si>
    <t>in the previous tab, this expression is 17</t>
  </si>
  <si>
    <t>Find the answer using the excel symbol "^"</t>
  </si>
  <si>
    <t>a.</t>
  </si>
  <si>
    <t>b.</t>
  </si>
  <si>
    <t>c.</t>
  </si>
  <si>
    <t>10^2</t>
  </si>
  <si>
    <t>2^10</t>
  </si>
  <si>
    <t>d.</t>
  </si>
  <si>
    <t>2^20</t>
  </si>
  <si>
    <t>e.</t>
  </si>
  <si>
    <t>10^7</t>
  </si>
  <si>
    <t>20^2</t>
  </si>
  <si>
    <t>MEAN</t>
  </si>
  <si>
    <t>MEDIAN</t>
  </si>
  <si>
    <t>MODE</t>
  </si>
  <si>
    <t>Excel uses AVERAGE for the MEAN</t>
  </si>
  <si>
    <t xml:space="preserve">Answers. Put curser on cell </t>
  </si>
  <si>
    <t>using excel.</t>
  </si>
  <si>
    <t>STDEV.p</t>
  </si>
  <si>
    <t>STDEV.s</t>
  </si>
  <si>
    <t>STDEV</t>
  </si>
  <si>
    <t>There are 2 modes.</t>
  </si>
  <si>
    <t>214 and 157</t>
  </si>
  <si>
    <t>Excel only picked 1.</t>
  </si>
  <si>
    <t>Points</t>
  </si>
  <si>
    <t>Equation</t>
  </si>
  <si>
    <t>(0,0) (12,10)</t>
  </si>
  <si>
    <t>(12,0)  (12,12)</t>
  </si>
  <si>
    <t>are given the two points on the line</t>
  </si>
  <si>
    <t>Find the equation of the straight line if you</t>
  </si>
  <si>
    <t>(2,8) (6,12)</t>
  </si>
  <si>
    <t>slope=(12-8)/(6-2)= 4/4 = 1</t>
  </si>
  <si>
    <t>y=x+b</t>
  </si>
  <si>
    <t>8=2+b</t>
  </si>
  <si>
    <t>b=6</t>
  </si>
  <si>
    <t>y=x+6</t>
  </si>
  <si>
    <t>(0,6)  (12,10)</t>
  </si>
  <si>
    <t>slope=(10-6)/(12-0) = 4/12 = 1/3</t>
  </si>
  <si>
    <t>y=x/3 + b</t>
  </si>
  <si>
    <t>10=12/3 + b</t>
  </si>
  <si>
    <t>b= 10-4=6</t>
  </si>
  <si>
    <t>y=x/3 + 6</t>
  </si>
  <si>
    <t>slope=(10-0)/(12-0)=10/12=5/6</t>
  </si>
  <si>
    <t>y=5x/6 + b</t>
  </si>
  <si>
    <t>0=0+b</t>
  </si>
  <si>
    <t>b=0</t>
  </si>
  <si>
    <t>y=5x/6</t>
  </si>
  <si>
    <t>slope=(12-0)/(12-12)=12/0</t>
  </si>
  <si>
    <t>slope undefined. Vertical line</t>
  </si>
  <si>
    <t>x=12</t>
  </si>
  <si>
    <t>(0,-5)  (-5,-5)</t>
  </si>
  <si>
    <t>slope=(-5-(-5))/(-5-0)= (-5+5)/(-5)= 0/-5=0</t>
  </si>
  <si>
    <t>slope=0 means horizontal line.</t>
  </si>
  <si>
    <t>y = -5</t>
  </si>
  <si>
    <t>Answers. Put curser over cell</t>
  </si>
  <si>
    <t>Calculate % Change using method 1</t>
  </si>
  <si>
    <t>Calculate % Change using method 2</t>
  </si>
  <si>
    <t>Answers. Place curser over cell</t>
  </si>
  <si>
    <t>The third method lets you see which states are the biggest and smallest</t>
  </si>
  <si>
    <t>LOSS                     RATIO (Loss/EP)</t>
  </si>
  <si>
    <t>Loss Ratio</t>
  </si>
  <si>
    <t>Month</t>
  </si>
  <si>
    <t>TR12</t>
  </si>
  <si>
    <t xml:space="preserve">Use column C to calculate the 12-month moving average of the data in column B. </t>
  </si>
  <si>
    <t>Answer</t>
  </si>
  <si>
    <t>Display both the Loss Ratio and the TR12 (MA12) on the same graph</t>
  </si>
  <si>
    <t>Create an Index for the following series.</t>
  </si>
  <si>
    <t>Answers. Place curser over cells</t>
  </si>
  <si>
    <t>What % larger is the 4th term compared to the first term?</t>
  </si>
  <si>
    <t>100% higher</t>
  </si>
  <si>
    <t>16% higher</t>
  </si>
  <si>
    <t>Answer: place curser over cells</t>
  </si>
  <si>
    <t>Rebase this series of numbers to the average of the series</t>
  </si>
  <si>
    <t>average</t>
  </si>
  <si>
    <t>relativities</t>
  </si>
  <si>
    <t>base</t>
  </si>
  <si>
    <t>Set 1</t>
  </si>
  <si>
    <t>Set 2</t>
  </si>
  <si>
    <t>Did any of the values from Set 1 increase?</t>
  </si>
  <si>
    <t>Set 2 minus    Set 1</t>
  </si>
  <si>
    <t>What does the median tell us about the increase?</t>
  </si>
  <si>
    <t>What does the mean tell us about the increase?</t>
  </si>
  <si>
    <t>Answers: put curser over cells.</t>
  </si>
  <si>
    <t>Yes, the first and last.</t>
  </si>
  <si>
    <t>The median indicates no increase</t>
  </si>
  <si>
    <t>Increase</t>
  </si>
  <si>
    <t>The mean indicates a 12% increase</t>
  </si>
  <si>
    <t>bin</t>
  </si>
  <si>
    <t>Bin</t>
  </si>
  <si>
    <t>More</t>
  </si>
  <si>
    <t>Frequency</t>
  </si>
  <si>
    <t>Do the histograms look different depending on the bin selection?</t>
  </si>
  <si>
    <t>Yes, this is a shortcoming of bar charts</t>
  </si>
  <si>
    <t>Using the Data Analysis pack in Data (above)</t>
  </si>
  <si>
    <t>Create 2 histograms (bar charts) of X using the 2 given bins</t>
  </si>
  <si>
    <t>Sort the data by size. What value might be an outlier?</t>
  </si>
  <si>
    <t>Given the weight of NFL linemen calculate the mean &amp; SD</t>
  </si>
  <si>
    <t>Are we justified in removing the outlier?</t>
  </si>
  <si>
    <t>967 pounds.</t>
  </si>
  <si>
    <t>weighs</t>
  </si>
  <si>
    <t>Yes. No human</t>
  </si>
  <si>
    <t>What is the mean &amp; SD if the outlier is deleted?        Does it make a difference?</t>
  </si>
  <si>
    <t>Yes</t>
  </si>
  <si>
    <t>Difference</t>
  </si>
  <si>
    <t>This is a sample of 90 data points</t>
  </si>
  <si>
    <t>#</t>
  </si>
  <si>
    <t xml:space="preserve">X </t>
  </si>
  <si>
    <t>Do you see a potential outlier?</t>
  </si>
  <si>
    <t>Graph the data using a Scatter Plot .</t>
  </si>
  <si>
    <t xml:space="preserve">   Format graph</t>
  </si>
  <si>
    <t xml:space="preserve">   Format plot area</t>
  </si>
  <si>
    <t xml:space="preserve">   Change Font size</t>
  </si>
  <si>
    <t xml:space="preserve">   Use Bold selectively</t>
  </si>
  <si>
    <t>Use some techniques to make the graph</t>
  </si>
  <si>
    <t xml:space="preserve">   Use the title to express the message</t>
  </si>
  <si>
    <t>I see 2 outliers</t>
  </si>
  <si>
    <t>Put curser</t>
  </si>
  <si>
    <t>over cell</t>
  </si>
  <si>
    <t>Graph the data in the Columns B&amp;C</t>
  </si>
  <si>
    <t>Hint: use trendline&gt;options</t>
  </si>
  <si>
    <t>In which states did I modify the Loss to show a difference between unwtd and wtd average?  Why?</t>
  </si>
  <si>
    <t>Try modifying the Loss for HI by doubling it or tripling it. Does it matter?</t>
  </si>
  <si>
    <t>The average LR</t>
  </si>
  <si>
    <t>LR=SUM(LOSS AMT)/SUM(EP)</t>
  </si>
  <si>
    <t>WEIGHTED AVERAGE (CW) LR</t>
  </si>
  <si>
    <t>LR=(blue)/(green)</t>
  </si>
  <si>
    <t>Does the TR12/MA12 allow the trend to be seen and the seasonality to be removed?</t>
  </si>
  <si>
    <t>The objective in Set 2 is to increase the performance from Set 1</t>
  </si>
  <si>
    <t>Using the Data Analysis pack in "Data" (above)</t>
  </si>
  <si>
    <t>bin 1</t>
  </si>
  <si>
    <t>bin 2</t>
  </si>
  <si>
    <t>Create 2 histograms (bar charts) of X using bin 1 and bin 2</t>
  </si>
  <si>
    <t>Are we justified in removing the outlier? Why?</t>
  </si>
  <si>
    <t>Column Q is created by reversing the order of the Y values.</t>
  </si>
  <si>
    <t>Use a few quick techniques to make the graph visually appealing</t>
  </si>
  <si>
    <t>Try changing the red numbers and</t>
  </si>
  <si>
    <t>see how the line changes  its equation.</t>
  </si>
  <si>
    <t>Given X has a normal distribution with mean = 10 and SD = 2</t>
  </si>
  <si>
    <t>Find the following probabilities:</t>
  </si>
  <si>
    <t>prob (X&gt;10)</t>
  </si>
  <si>
    <t>prob (X=10)</t>
  </si>
  <si>
    <t>prob (X&gt;8)</t>
  </si>
  <si>
    <t>prob (6&lt;X&lt;14)</t>
  </si>
  <si>
    <t>prob (X&lt;8)</t>
  </si>
  <si>
    <t>prob (X&gt;4)</t>
  </si>
  <si>
    <t>prob (X&lt;16)</t>
  </si>
  <si>
    <t>prob (8&lt;X&lt;14)</t>
  </si>
  <si>
    <t>Value</t>
  </si>
  <si>
    <t>prob (X&lt;value)</t>
  </si>
  <si>
    <t>value</t>
  </si>
  <si>
    <t>Given X has a normal distribution with stated mean and SD, calculate the Z-score</t>
  </si>
  <si>
    <t>mean</t>
  </si>
  <si>
    <t>Z-score</t>
  </si>
  <si>
    <t>IQ has a normal distribution</t>
  </si>
  <si>
    <t>with mean=100 SD=15</t>
  </si>
  <si>
    <t>Scores from a customer survey have a Uniform Distribution with a mean=50 and a SD=30.</t>
  </si>
  <si>
    <t>Critical Z is 1.645</t>
  </si>
  <si>
    <t>Alternative Hypothesis: True Mean &gt; 50</t>
  </si>
  <si>
    <t>Null Hypothesis:              True Mean = 50</t>
  </si>
  <si>
    <t>Sample Z-score of the mean is (75-50) / (30/sqrt(25)) = (25)/(30/6) = 25/6 = 4.2</t>
  </si>
  <si>
    <t>Sample Z &gt;&gt; Critical Z. We reject the null hypothesis that the true mean is =50.</t>
  </si>
  <si>
    <t>Sample Z &lt; Critical Z. We cannot reject the null hypothesis that the true mean is =50.</t>
  </si>
  <si>
    <t>1. A sample of size 25 has a mean of 75. Test the hypotheses:</t>
  </si>
  <si>
    <t>in order to reject the null hypothesis?</t>
  </si>
  <si>
    <t xml:space="preserve">3. In problem 2, what would the sample mean have to be </t>
  </si>
  <si>
    <t>(X-50)/ (30/sqrt(100)) = 1.645</t>
  </si>
  <si>
    <t>(X-50)/ (30/10) =1.645</t>
  </si>
  <si>
    <t>2. A sample of size 100 has a mean of 53. Test the hypotheses:</t>
  </si>
  <si>
    <t>Sample Z-score of the mean is (53-50) / (30/sqrt(100)) = (3)/(30/10) = 3/3 = 1.00</t>
  </si>
  <si>
    <t>(X-50) = 3*1.645</t>
  </si>
  <si>
    <t>(X-50) = 4.935</t>
  </si>
  <si>
    <t>X = 54.935</t>
  </si>
  <si>
    <t>The cost of headlight replacements has a Gamma Distribution.</t>
  </si>
  <si>
    <t>has a sample mean of 800 and a sample SD of 300.</t>
  </si>
  <si>
    <t>1. Find a 95% confidence interval on the true mean if a sample of size 36</t>
  </si>
  <si>
    <t>SD(mean) = 300/sqrt(36) = 300/6 = 50</t>
  </si>
  <si>
    <t>95% CI on the true mean:</t>
  </si>
  <si>
    <t>to</t>
  </si>
  <si>
    <t xml:space="preserve"> (750, 850)</t>
  </si>
  <si>
    <t>2. Find a 95% confidence interval on the true mean if a sample of size 36</t>
  </si>
  <si>
    <t>has a sample mean of 40 and a sample SD of 300.</t>
  </si>
  <si>
    <t xml:space="preserve"> (-10, 90)</t>
  </si>
  <si>
    <t>(800 - 50)</t>
  </si>
  <si>
    <t>(800 + 50)</t>
  </si>
  <si>
    <t>(40 - 50)</t>
  </si>
  <si>
    <t>(40 + 50)</t>
  </si>
  <si>
    <t>but cost has to be &gt; $0, so CI = (0, 90)</t>
  </si>
  <si>
    <t>in the sample.</t>
  </si>
  <si>
    <t>Since even $0 seems suspicious, is there an outlier</t>
  </si>
  <si>
    <t>The cost replacing a key fob has a Skellam Distribution.</t>
  </si>
  <si>
    <t>1.  SD(mean) = 12/SQRT(9) = 12/3 = 4</t>
  </si>
  <si>
    <t>∞</t>
  </si>
  <si>
    <t>Critical t-values for p=0.05</t>
  </si>
  <si>
    <t>2 tail</t>
  </si>
  <si>
    <t xml:space="preserve">1 tail </t>
  </si>
  <si>
    <t>df=(n-1)</t>
  </si>
  <si>
    <t>From a published t-table, the 95% critical value of t for a sample of size 9, is 2.306 (note: bigger than 1.96)</t>
  </si>
  <si>
    <t xml:space="preserve">     We reject the null hypothesis that the true mean = zero.</t>
  </si>
  <si>
    <t>A sample of size 9 has a Sample Mean = 111 and a Sample SD=12.  Is the true mean different from 100?</t>
  </si>
  <si>
    <t>Null Hypothesis:               True Mean = 100</t>
  </si>
  <si>
    <t>Alternative Hypothesis:  True Mean not = 100</t>
  </si>
  <si>
    <t>2.  t-score = (111 – 100)/4  = 11/4 = 2.75, which is greater than 2.306.</t>
  </si>
  <si>
    <t>Plot the data in col B. What value might be an outlier?</t>
  </si>
  <si>
    <t>Enter a number in F12 to generate</t>
  </si>
  <si>
    <t>a new set of 10 samples in col. J. Plot</t>
  </si>
  <si>
    <t>50 of these sample averages in tab=CLT2.</t>
  </si>
  <si>
    <t>Note that the sample values vary from</t>
  </si>
  <si>
    <t>40-60 and are approximately normal</t>
  </si>
  <si>
    <t>0-100, but the sample averages only from</t>
  </si>
  <si>
    <t xml:space="preserve"> of the data in column B</t>
  </si>
  <si>
    <t>of the data in column B</t>
  </si>
  <si>
    <t xml:space="preserve">Find the mean, median, &amp; mode </t>
  </si>
  <si>
    <t>of the data in column G</t>
  </si>
  <si>
    <t xml:space="preserve">Find the standard deviation </t>
  </si>
  <si>
    <t>Find the standard deviation</t>
  </si>
  <si>
    <t>Notice that the STDEV function defaults to the STDEV.s function</t>
  </si>
  <si>
    <t>PGR Results</t>
  </si>
  <si>
    <t>above visually appealing.</t>
  </si>
  <si>
    <t>PV = nRT</t>
  </si>
  <si>
    <t>PV=T</t>
  </si>
  <si>
    <t>T</t>
  </si>
  <si>
    <t>P</t>
  </si>
  <si>
    <t>V</t>
  </si>
  <si>
    <t>(1,1)</t>
  </si>
  <si>
    <t>(5,6)</t>
  </si>
  <si>
    <t>(6,5)</t>
  </si>
  <si>
    <t>Cases</t>
  </si>
  <si>
    <t>Total</t>
  </si>
  <si>
    <t>Probability</t>
  </si>
  <si>
    <t>Outcomes</t>
  </si>
  <si>
    <t>1. Fill out this table for the sum of the faces of 2 dice.</t>
  </si>
  <si>
    <t>X (Sum)</t>
  </si>
  <si>
    <t xml:space="preserve">2. Plot the probabilities on a chart where X is on the x-axis and </t>
  </si>
  <si>
    <t xml:space="preserve"> the probability of X is on the Y axis.</t>
  </si>
  <si>
    <t>What sum has the best chance of occuring?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</si>
</sst>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0.0"/>
    <numFmt numFmtId="169" formatCode="0.0000"/>
  </numFmts>
  <fonts count="19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8"/>
      <color rgb="FF707070"/>
      <name val="96 Sans"/>
      <family val="2"/>
    </font>
    <font>
      <sz val="11"/>
      <name val="96 Sans"/>
      <family val="2"/>
    </font>
    <font>
      <b/>
      <sz val="11"/>
      <name val="96 Sans"/>
      <family val="2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3" fontId="2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5" fontId="0" fillId="0" borderId="0" xfId="2" applyNumberFormat="1" applyFont="1"/>
    <xf numFmtId="0" fontId="0" fillId="0" borderId="5" xfId="0" applyBorder="1"/>
    <xf numFmtId="164" fontId="0" fillId="0" borderId="5" xfId="1" applyNumberFormat="1" applyFont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/>
    <xf numFmtId="0" fontId="1" fillId="0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5" fontId="3" fillId="3" borderId="5" xfId="2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5" xfId="2" applyNumberFormat="1" applyFont="1" applyBorder="1" applyAlignment="1">
      <alignment vertical="center" wrapText="1"/>
    </xf>
    <xf numFmtId="166" fontId="3" fillId="3" borderId="5" xfId="1" applyNumberFormat="1" applyFont="1" applyFill="1" applyBorder="1" applyAlignment="1">
      <alignment horizontal="center" vertical="center" wrapText="1"/>
    </xf>
    <xf numFmtId="166" fontId="3" fillId="3" borderId="5" xfId="0" applyNumberFormat="1" applyFont="1" applyFill="1" applyBorder="1" applyAlignment="1">
      <alignment horizontal="center" vertical="center" wrapText="1"/>
    </xf>
    <xf numFmtId="166" fontId="0" fillId="0" borderId="5" xfId="1" applyNumberFormat="1" applyFont="1" applyBorder="1" applyAlignment="1">
      <alignment horizontal="center"/>
    </xf>
    <xf numFmtId="166" fontId="0" fillId="0" borderId="0" xfId="1" applyNumberFormat="1" applyFont="1"/>
    <xf numFmtId="167" fontId="0" fillId="0" borderId="5" xfId="3" applyNumberFormat="1" applyFont="1" applyBorder="1"/>
    <xf numFmtId="167" fontId="0" fillId="0" borderId="1" xfId="3" applyNumberFormat="1" applyFont="1" applyBorder="1"/>
    <xf numFmtId="0" fontId="1" fillId="0" borderId="0" xfId="0" applyFont="1" applyAlignment="1">
      <alignment horizontal="center" vertical="center"/>
    </xf>
    <xf numFmtId="165" fontId="1" fillId="0" borderId="5" xfId="2" applyNumberFormat="1" applyFont="1" applyBorder="1" applyAlignment="1">
      <alignment vertical="center" wrapText="1"/>
    </xf>
    <xf numFmtId="165" fontId="8" fillId="0" borderId="5" xfId="2" applyNumberFormat="1" applyFont="1" applyBorder="1" applyAlignment="1">
      <alignment vertical="center" wrapText="1"/>
    </xf>
    <xf numFmtId="0" fontId="12" fillId="0" borderId="10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3" fontId="12" fillId="0" borderId="11" xfId="0" applyNumberFormat="1" applyFont="1" applyBorder="1" applyAlignment="1">
      <alignment horizontal="right" wrapText="1"/>
    </xf>
    <xf numFmtId="3" fontId="12" fillId="0" borderId="12" xfId="0" applyNumberFormat="1" applyFont="1" applyBorder="1" applyAlignment="1">
      <alignment horizontal="right" wrapText="1"/>
    </xf>
    <xf numFmtId="0" fontId="12" fillId="0" borderId="14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9" fontId="12" fillId="0" borderId="11" xfId="0" applyNumberFormat="1" applyFont="1" applyBorder="1" applyAlignment="1">
      <alignment horizontal="right" wrapText="1"/>
    </xf>
    <xf numFmtId="0" fontId="12" fillId="3" borderId="3" xfId="0" applyFont="1" applyFill="1" applyBorder="1" applyAlignment="1">
      <alignment horizontal="center" vertical="center" wrapText="1"/>
    </xf>
    <xf numFmtId="3" fontId="12" fillId="0" borderId="16" xfId="0" applyNumberFormat="1" applyFont="1" applyBorder="1" applyAlignment="1">
      <alignment horizontal="right" wrapText="1"/>
    </xf>
    <xf numFmtId="0" fontId="13" fillId="0" borderId="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wrapText="1" indent="1"/>
    </xf>
    <xf numFmtId="3" fontId="12" fillId="0" borderId="3" xfId="0" applyNumberFormat="1" applyFont="1" applyBorder="1" applyAlignment="1">
      <alignment horizontal="right" wrapText="1"/>
    </xf>
    <xf numFmtId="0" fontId="12" fillId="0" borderId="18" xfId="0" applyFont="1" applyBorder="1" applyAlignment="1">
      <alignment horizontal="left" wrapText="1" indent="1"/>
    </xf>
    <xf numFmtId="3" fontId="12" fillId="0" borderId="4" xfId="0" applyNumberFormat="1" applyFont="1" applyBorder="1" applyAlignment="1">
      <alignment horizontal="right" wrapText="1"/>
    </xf>
    <xf numFmtId="0" fontId="12" fillId="0" borderId="17" xfId="0" applyFont="1" applyBorder="1" applyAlignment="1">
      <alignment horizontal="left" wrapText="1" indent="2"/>
    </xf>
    <xf numFmtId="0" fontId="12" fillId="0" borderId="18" xfId="0" applyFont="1" applyBorder="1" applyAlignment="1">
      <alignment horizontal="left" wrapText="1" indent="2"/>
    </xf>
    <xf numFmtId="3" fontId="12" fillId="0" borderId="2" xfId="0" applyNumberFormat="1" applyFont="1" applyBorder="1" applyAlignment="1">
      <alignment horizontal="right" wrapText="1"/>
    </xf>
    <xf numFmtId="0" fontId="12" fillId="3" borderId="2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23" xfId="0" applyFont="1" applyBorder="1" applyAlignment="1">
      <alignment wrapText="1"/>
    </xf>
    <xf numFmtId="3" fontId="12" fillId="0" borderId="15" xfId="0" applyNumberFormat="1" applyFont="1" applyBorder="1" applyAlignment="1">
      <alignment horizontal="right" wrapText="1"/>
    </xf>
    <xf numFmtId="0" fontId="12" fillId="0" borderId="24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3" fillId="0" borderId="17" xfId="0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0" fontId="3" fillId="0" borderId="29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165" fontId="3" fillId="0" borderId="29" xfId="2" applyNumberFormat="1" applyFont="1" applyBorder="1" applyAlignment="1"/>
    <xf numFmtId="165" fontId="3" fillId="0" borderId="29" xfId="0" applyNumberFormat="1" applyFont="1" applyBorder="1" applyAlignment="1">
      <alignment vertical="center" wrapText="1"/>
    </xf>
    <xf numFmtId="0" fontId="3" fillId="0" borderId="28" xfId="0" applyFont="1" applyBorder="1" applyAlignment="1">
      <alignment horizontal="left"/>
    </xf>
    <xf numFmtId="0" fontId="3" fillId="0" borderId="18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/>
    <xf numFmtId="0" fontId="0" fillId="0" borderId="29" xfId="0" applyBorder="1"/>
    <xf numFmtId="0" fontId="0" fillId="2" borderId="5" xfId="0" applyFill="1" applyBorder="1" applyAlignment="1">
      <alignment horizontal="center"/>
    </xf>
    <xf numFmtId="2" fontId="0" fillId="0" borderId="0" xfId="0" applyNumberFormat="1" applyAlignment="1">
      <alignment vertical="center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8" fillId="2" borderId="5" xfId="0" applyFont="1" applyFill="1" applyBorder="1" applyAlignment="1">
      <alignment horizontal="center"/>
    </xf>
    <xf numFmtId="0" fontId="0" fillId="5" borderId="0" xfId="0" applyFill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5" borderId="1" xfId="0" applyFill="1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6" xfId="0" applyBorder="1"/>
    <xf numFmtId="1" fontId="0" fillId="0" borderId="11" xfId="0" applyNumberFormat="1" applyBorder="1" applyAlignment="1">
      <alignment horizontal="center"/>
    </xf>
    <xf numFmtId="166" fontId="0" fillId="5" borderId="1" xfId="0" applyNumberFormat="1" applyFill="1" applyBorder="1"/>
    <xf numFmtId="0" fontId="0" fillId="0" borderId="28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5" borderId="0" xfId="0" applyNumberFormat="1" applyFill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0" fontId="0" fillId="0" borderId="26" xfId="0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3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/>
    <xf numFmtId="164" fontId="1" fillId="0" borderId="5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164" fontId="0" fillId="0" borderId="2" xfId="0" applyNumberFormat="1" applyBorder="1" applyAlignment="1"/>
    <xf numFmtId="0" fontId="0" fillId="0" borderId="2" xfId="0" applyBorder="1" applyAlignment="1"/>
    <xf numFmtId="164" fontId="1" fillId="0" borderId="5" xfId="1" applyNumberFormat="1" applyFont="1" applyBorder="1"/>
    <xf numFmtId="3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0" borderId="1" xfId="0" applyFont="1" applyFill="1" applyBorder="1" applyAlignment="1"/>
    <xf numFmtId="0" fontId="1" fillId="0" borderId="5" xfId="0" applyFont="1" applyBorder="1" applyAlignment="1">
      <alignment horizontal="center"/>
    </xf>
    <xf numFmtId="166" fontId="0" fillId="0" borderId="0" xfId="0" applyNumberFormat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3" fillId="3" borderId="2" xfId="0" applyFont="1" applyFill="1" applyBorder="1" applyAlignment="1">
      <alignment horizontal="center" wrapText="1"/>
    </xf>
    <xf numFmtId="0" fontId="16" fillId="0" borderId="0" xfId="0" applyFont="1"/>
    <xf numFmtId="3" fontId="0" fillId="0" borderId="0" xfId="0" applyNumberFormat="1"/>
    <xf numFmtId="0" fontId="3" fillId="0" borderId="2" xfId="0" applyFont="1" applyBorder="1" applyAlignment="1">
      <alignment vertical="center" wrapText="1"/>
    </xf>
    <xf numFmtId="2" fontId="3" fillId="0" borderId="2" xfId="1" applyNumberFormat="1" applyFont="1" applyBorder="1" applyAlignment="1">
      <alignment horizontal="left"/>
    </xf>
    <xf numFmtId="0" fontId="0" fillId="3" borderId="5" xfId="0" applyFill="1" applyBorder="1"/>
    <xf numFmtId="1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left"/>
    </xf>
    <xf numFmtId="0" fontId="0" fillId="3" borderId="38" xfId="0" applyFill="1" applyBorder="1"/>
    <xf numFmtId="0" fontId="0" fillId="3" borderId="39" xfId="0" applyFill="1" applyBorder="1"/>
    <xf numFmtId="0" fontId="1" fillId="3" borderId="42" xfId="0" applyFont="1" applyFill="1" applyBorder="1"/>
    <xf numFmtId="0" fontId="0" fillId="3" borderId="1" xfId="0" applyFill="1" applyBorder="1"/>
    <xf numFmtId="0" fontId="0" fillId="3" borderId="43" xfId="0" applyFill="1" applyBorder="1"/>
    <xf numFmtId="0" fontId="1" fillId="3" borderId="40" xfId="0" applyFont="1" applyFill="1" applyBorder="1"/>
    <xf numFmtId="0" fontId="0" fillId="3" borderId="36" xfId="0" applyFill="1" applyBorder="1"/>
    <xf numFmtId="0" fontId="0" fillId="3" borderId="41" xfId="0" applyFill="1" applyBorder="1"/>
    <xf numFmtId="0" fontId="1" fillId="3" borderId="40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4" xfId="0" applyBorder="1"/>
    <xf numFmtId="0" fontId="0" fillId="0" borderId="45" xfId="0" applyBorder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30" xfId="0" applyFill="1" applyBorder="1" applyAlignment="1"/>
    <xf numFmtId="0" fontId="17" fillId="0" borderId="46" xfId="0" applyFont="1" applyFill="1" applyBorder="1" applyAlignment="1">
      <alignment horizontal="center"/>
    </xf>
    <xf numFmtId="0" fontId="3" fillId="2" borderId="6" xfId="0" applyFont="1" applyFill="1" applyBorder="1"/>
    <xf numFmtId="0" fontId="0" fillId="2" borderId="44" xfId="0" applyFill="1" applyBorder="1"/>
    <xf numFmtId="0" fontId="0" fillId="2" borderId="45" xfId="0" applyFill="1" applyBorder="1"/>
    <xf numFmtId="0" fontId="1" fillId="3" borderId="37" xfId="0" applyFont="1" applyFill="1" applyBorder="1"/>
    <xf numFmtId="0" fontId="3" fillId="0" borderId="0" xfId="0" applyFont="1" applyAlignment="1">
      <alignment vertical="center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0" borderId="0" xfId="0" applyNumberFormat="1" applyFont="1"/>
    <xf numFmtId="167" fontId="0" fillId="0" borderId="2" xfId="3" applyNumberFormat="1" applyFont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1" fillId="2" borderId="3" xfId="0" applyFont="1" applyFill="1" applyBorder="1"/>
    <xf numFmtId="0" fontId="0" fillId="2" borderId="16" xfId="0" applyFill="1" applyBorder="1"/>
    <xf numFmtId="0" fontId="0" fillId="2" borderId="4" xfId="0" applyFill="1" applyBorder="1"/>
    <xf numFmtId="0" fontId="0" fillId="2" borderId="2" xfId="0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166" fontId="10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/>
    <xf numFmtId="165" fontId="3" fillId="7" borderId="2" xfId="0" applyNumberFormat="1" applyFont="1" applyFill="1" applyBorder="1"/>
    <xf numFmtId="165" fontId="3" fillId="0" borderId="2" xfId="0" applyNumberFormat="1" applyFont="1" applyFill="1" applyBorder="1"/>
    <xf numFmtId="0" fontId="3" fillId="3" borderId="2" xfId="0" applyFont="1" applyFill="1" applyBorder="1"/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1" fontId="0" fillId="4" borderId="2" xfId="0" applyNumberFormat="1" applyFill="1" applyBorder="1" applyAlignment="1">
      <alignment horizontal="center"/>
    </xf>
    <xf numFmtId="9" fontId="13" fillId="4" borderId="15" xfId="0" applyNumberFormat="1" applyFont="1" applyFill="1" applyBorder="1" applyAlignment="1">
      <alignment horizontal="right" wrapText="1"/>
    </xf>
    <xf numFmtId="9" fontId="13" fillId="4" borderId="11" xfId="0" applyNumberFormat="1" applyFont="1" applyFill="1" applyBorder="1" applyAlignment="1">
      <alignment horizontal="right" wrapText="1"/>
    </xf>
    <xf numFmtId="9" fontId="13" fillId="4" borderId="12" xfId="0" applyNumberFormat="1" applyFont="1" applyFill="1" applyBorder="1" applyAlignment="1">
      <alignment horizontal="right" wrapText="1"/>
    </xf>
    <xf numFmtId="9" fontId="13" fillId="4" borderId="13" xfId="0" applyNumberFormat="1" applyFont="1" applyFill="1" applyBorder="1" applyAlignment="1">
      <alignment horizontal="right" wrapText="1"/>
    </xf>
    <xf numFmtId="9" fontId="13" fillId="4" borderId="19" xfId="0" applyNumberFormat="1" applyFont="1" applyFill="1" applyBorder="1" applyAlignment="1">
      <alignment horizontal="right" wrapText="1"/>
    </xf>
    <xf numFmtId="9" fontId="13" fillId="4" borderId="2" xfId="0" applyNumberFormat="1" applyFont="1" applyFill="1" applyBorder="1" applyAlignment="1">
      <alignment horizontal="right" wrapText="1"/>
    </xf>
    <xf numFmtId="2" fontId="8" fillId="4" borderId="2" xfId="0" applyNumberFormat="1" applyFont="1" applyFill="1" applyBorder="1"/>
    <xf numFmtId="0" fontId="3" fillId="4" borderId="2" xfId="0" applyFont="1" applyFill="1" applyBorder="1"/>
    <xf numFmtId="0" fontId="3" fillId="4" borderId="17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18" xfId="0" applyFont="1" applyFill="1" applyBorder="1"/>
    <xf numFmtId="0" fontId="3" fillId="4" borderId="30" xfId="0" applyFont="1" applyFill="1" applyBorder="1"/>
    <xf numFmtId="0" fontId="3" fillId="4" borderId="31" xfId="0" applyFont="1" applyFill="1" applyBorder="1"/>
    <xf numFmtId="0" fontId="3" fillId="0" borderId="0" xfId="0" applyFont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3" fillId="3" borderId="17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3" fillId="3" borderId="18" xfId="0" applyFont="1" applyFill="1" applyBorder="1"/>
    <xf numFmtId="0" fontId="0" fillId="3" borderId="30" xfId="0" applyFill="1" applyBorder="1"/>
    <xf numFmtId="0" fontId="0" fillId="3" borderId="31" xfId="0" applyFill="1" applyBorder="1"/>
    <xf numFmtId="0" fontId="3" fillId="3" borderId="14" xfId="0" applyFont="1" applyFill="1" applyBorder="1"/>
    <xf numFmtId="0" fontId="0" fillId="3" borderId="47" xfId="0" applyFill="1" applyBorder="1"/>
    <xf numFmtId="0" fontId="0" fillId="3" borderId="32" xfId="0" applyFill="1" applyBorder="1"/>
    <xf numFmtId="0" fontId="0" fillId="0" borderId="6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31" xfId="0" applyFont="1" applyBorder="1"/>
    <xf numFmtId="0" fontId="3" fillId="3" borderId="2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1" fillId="0" borderId="0" xfId="0" applyNumberFormat="1" applyFont="1"/>
    <xf numFmtId="166" fontId="0" fillId="0" borderId="49" xfId="0" applyNumberFormat="1" applyBorder="1" applyAlignment="1">
      <alignment horizontal="center"/>
    </xf>
    <xf numFmtId="166" fontId="0" fillId="0" borderId="51" xfId="0" applyNumberFormat="1" applyBorder="1" applyAlignment="1">
      <alignment horizontal="center"/>
    </xf>
    <xf numFmtId="166" fontId="0" fillId="0" borderId="53" xfId="0" applyNumberForma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9" fontId="3" fillId="2" borderId="2" xfId="3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9" fontId="3" fillId="2" borderId="3" xfId="3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8" fillId="4" borderId="0" xfId="0" applyFont="1" applyFill="1" applyAlignment="1"/>
    <xf numFmtId="0" fontId="18" fillId="3" borderId="2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7" borderId="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47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image" Target="../media/image1.jpe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Trailing 12 Removes Seasonality from Monthly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Loss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MovAvg!$O$2:$O$37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MovAvg!$P$2:$P$37</c:f>
              <c:numCache>
                <c:formatCode>General</c:formatCode>
                <c:ptCount val="36"/>
                <c:pt idx="0">
                  <c:v>0.81</c:v>
                </c:pt>
                <c:pt idx="1">
                  <c:v>0.85</c:v>
                </c:pt>
                <c:pt idx="2">
                  <c:v>0.78</c:v>
                </c:pt>
                <c:pt idx="3">
                  <c:v>0.75</c:v>
                </c:pt>
                <c:pt idx="4">
                  <c:v>0.69</c:v>
                </c:pt>
                <c:pt idx="5">
                  <c:v>0.66</c:v>
                </c:pt>
                <c:pt idx="6">
                  <c:v>0.66</c:v>
                </c:pt>
                <c:pt idx="7">
                  <c:v>0.64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  <c:pt idx="11">
                  <c:v>0.82</c:v>
                </c:pt>
                <c:pt idx="12">
                  <c:v>0.83000000000000007</c:v>
                </c:pt>
                <c:pt idx="13">
                  <c:v>0.87</c:v>
                </c:pt>
                <c:pt idx="14">
                  <c:v>0.79</c:v>
                </c:pt>
                <c:pt idx="15">
                  <c:v>0.75</c:v>
                </c:pt>
                <c:pt idx="16">
                  <c:v>0.72</c:v>
                </c:pt>
                <c:pt idx="17">
                  <c:v>0.67</c:v>
                </c:pt>
                <c:pt idx="18">
                  <c:v>0.66</c:v>
                </c:pt>
                <c:pt idx="19">
                  <c:v>0.67</c:v>
                </c:pt>
                <c:pt idx="20">
                  <c:v>0.66</c:v>
                </c:pt>
                <c:pt idx="21">
                  <c:v>0.73</c:v>
                </c:pt>
                <c:pt idx="22">
                  <c:v>0.77</c:v>
                </c:pt>
                <c:pt idx="23">
                  <c:v>0.83</c:v>
                </c:pt>
                <c:pt idx="24">
                  <c:v>0.85000000000000009</c:v>
                </c:pt>
                <c:pt idx="25">
                  <c:v>0.89</c:v>
                </c:pt>
                <c:pt idx="26">
                  <c:v>0.8</c:v>
                </c:pt>
                <c:pt idx="27">
                  <c:v>0.75</c:v>
                </c:pt>
                <c:pt idx="28">
                  <c:v>0.75</c:v>
                </c:pt>
                <c:pt idx="29">
                  <c:v>0.68</c:v>
                </c:pt>
                <c:pt idx="30">
                  <c:v>0.66</c:v>
                </c:pt>
                <c:pt idx="31">
                  <c:v>0.70000000000000007</c:v>
                </c:pt>
                <c:pt idx="32">
                  <c:v>0.67</c:v>
                </c:pt>
                <c:pt idx="33">
                  <c:v>0.75</c:v>
                </c:pt>
                <c:pt idx="34">
                  <c:v>0.77</c:v>
                </c:pt>
                <c:pt idx="3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5-4814-BF1C-3BEC9AA6E298}"/>
            </c:ext>
          </c:extLst>
        </c:ser>
        <c:ser>
          <c:idx val="1"/>
          <c:order val="1"/>
          <c:tx>
            <c:strRef>
              <c:f>MovAvg!$C$1</c:f>
              <c:strCache>
                <c:ptCount val="1"/>
                <c:pt idx="0">
                  <c:v>TR12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MovAvg!$O$2:$O$37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MovAvg!$Q$2:$Q$37</c:f>
              <c:numCache>
                <c:formatCode>General</c:formatCode>
                <c:ptCount val="36"/>
                <c:pt idx="12" formatCode="0.00">
                  <c:v>0.73250000000000004</c:v>
                </c:pt>
                <c:pt idx="13" formatCode="0.00">
                  <c:v>0.73416666666666675</c:v>
                </c:pt>
                <c:pt idx="14" formatCode="0.00">
                  <c:v>0.73583333333333334</c:v>
                </c:pt>
                <c:pt idx="15" formatCode="0.00">
                  <c:v>0.73666666666666669</c:v>
                </c:pt>
                <c:pt idx="16" formatCode="0.00">
                  <c:v>0.73666666666666669</c:v>
                </c:pt>
                <c:pt idx="17" formatCode="0.00">
                  <c:v>0.73916666666666675</c:v>
                </c:pt>
                <c:pt idx="18" formatCode="0.00">
                  <c:v>0.7400000000000001</c:v>
                </c:pt>
                <c:pt idx="19" formatCode="0.00">
                  <c:v>0.7400000000000001</c:v>
                </c:pt>
                <c:pt idx="20" formatCode="0.00">
                  <c:v>0.74249999999999983</c:v>
                </c:pt>
                <c:pt idx="21" formatCode="0.00">
                  <c:v>0.74333333333333329</c:v>
                </c:pt>
                <c:pt idx="22" formatCode="0.00">
                  <c:v>0.745</c:v>
                </c:pt>
                <c:pt idx="23" formatCode="0.00">
                  <c:v>0.745</c:v>
                </c:pt>
                <c:pt idx="24" formatCode="0.00">
                  <c:v>0.74583333333333324</c:v>
                </c:pt>
                <c:pt idx="25" formatCode="0.00">
                  <c:v>0.74749999999999994</c:v>
                </c:pt>
                <c:pt idx="26" formatCode="0.00">
                  <c:v>0.74916666666666665</c:v>
                </c:pt>
                <c:pt idx="27" formatCode="0.00">
                  <c:v>0.75</c:v>
                </c:pt>
                <c:pt idx="28" formatCode="0.00">
                  <c:v>0.75</c:v>
                </c:pt>
                <c:pt idx="29" formatCode="0.00">
                  <c:v>0.75249999999999995</c:v>
                </c:pt>
                <c:pt idx="30" formatCode="0.00">
                  <c:v>0.7533333333333333</c:v>
                </c:pt>
                <c:pt idx="31" formatCode="0.00">
                  <c:v>0.7533333333333333</c:v>
                </c:pt>
                <c:pt idx="32" formatCode="0.00">
                  <c:v>0.75583333333333325</c:v>
                </c:pt>
                <c:pt idx="33" formatCode="0.00">
                  <c:v>0.75666666666666671</c:v>
                </c:pt>
                <c:pt idx="34" formatCode="0.00">
                  <c:v>0.75833333333333341</c:v>
                </c:pt>
                <c:pt idx="35" formatCode="0.00">
                  <c:v>0.7583333333333333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5-4814-BF1C-3BEC9AA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3208"/>
        <c:axId val="695521928"/>
      </c:scatterChart>
      <c:valAx>
        <c:axId val="5321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1928"/>
        <c:crosses val="autoZero"/>
        <c:crossBetween val="midCat"/>
      </c:valAx>
      <c:valAx>
        <c:axId val="695521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3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Center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50784235811358"/>
                  <c:y val="-0.12540818522789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OutlierLinReg!$B$18:$B$29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4D3A-B6C2-5AF02B8B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Right -hand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7840698986908"/>
                  <c:y val="-8.7834804341056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OutlierLinReg!$S$19:$S$30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OutlierLinReg!$T$19:$T$30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7-4932-9878-33AA5E75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896530183727034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E-40EE-84A9-84F5975C5C6B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E-40EE-84A9-84F5975C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27680"/>
        <c:axId val="615923000"/>
      </c:scatterChart>
      <c:valAx>
        <c:axId val="615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3000"/>
        <c:crosses val="autoZero"/>
        <c:crossBetween val="midCat"/>
      </c:valAx>
      <c:valAx>
        <c:axId val="6159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7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Display!$T$6:$T$13</c:f>
              <c:strCach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More</c:v>
                </c:pt>
              </c:strCache>
            </c:strRef>
          </c:cat>
          <c:val>
            <c:numRef>
              <c:f>Display!$U$6:$U$13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41D2-9F0F-97307DCD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8936"/>
        <c:axId val="798950904"/>
      </c:barChart>
      <c:catAx>
        <c:axId val="79894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50904"/>
        <c:crosses val="autoZero"/>
        <c:auto val="1"/>
        <c:lblAlgn val="ctr"/>
        <c:lblOffset val="100"/>
        <c:noMultiLvlLbl val="0"/>
      </c:catAx>
      <c:valAx>
        <c:axId val="7989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48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Display!$T$16:$T$21</c:f>
              <c:strCache>
                <c:ptCount val="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More</c:v>
                </c:pt>
              </c:strCache>
            </c:strRef>
          </c:cat>
          <c:val>
            <c:numRef>
              <c:f>Display!$U$16:$U$21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1-419E-AA9D-D4AC930CD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817608"/>
        <c:axId val="757815968"/>
      </c:barChart>
      <c:catAx>
        <c:axId val="7578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815968"/>
        <c:crosses val="autoZero"/>
        <c:auto val="1"/>
        <c:lblAlgn val="ctr"/>
        <c:lblOffset val="100"/>
        <c:noMultiLvlLbl val="0"/>
      </c:catAx>
      <c:valAx>
        <c:axId val="75781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817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OutLr1!$B$5:$B$14</c:f>
              <c:numCache>
                <c:formatCode>General</c:formatCode>
                <c:ptCount val="10"/>
                <c:pt idx="0">
                  <c:v>296</c:v>
                </c:pt>
                <c:pt idx="1">
                  <c:v>356</c:v>
                </c:pt>
                <c:pt idx="2">
                  <c:v>322</c:v>
                </c:pt>
                <c:pt idx="3">
                  <c:v>365</c:v>
                </c:pt>
                <c:pt idx="4">
                  <c:v>315</c:v>
                </c:pt>
                <c:pt idx="5">
                  <c:v>333</c:v>
                </c:pt>
                <c:pt idx="6">
                  <c:v>967</c:v>
                </c:pt>
                <c:pt idx="7">
                  <c:v>315</c:v>
                </c:pt>
                <c:pt idx="8">
                  <c:v>290</c:v>
                </c:pt>
                <c:pt idx="9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5-4DF1-8192-D99BB54E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54144"/>
        <c:axId val="604453488"/>
      </c:scatterChart>
      <c:valAx>
        <c:axId val="6044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53488"/>
        <c:crosses val="autoZero"/>
        <c:crossBetween val="midCat"/>
      </c:valAx>
      <c:valAx>
        <c:axId val="60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54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Graphs can help identify Outliers</a:t>
            </a:r>
          </a:p>
        </c:rich>
      </c:tx>
      <c:layout>
        <c:manualLayout>
          <c:xMode val="edge"/>
          <c:yMode val="edge"/>
          <c:x val="0.2878263342082239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B7-406B-81A8-CE3EAFED0BC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B7-406B-81A8-CE3EAFED0BC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Outlr2!$A$2:$A$92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Outlr2!$B$2:$B$92</c:f>
              <c:numCache>
                <c:formatCode>General</c:formatCode>
                <c:ptCount val="91"/>
                <c:pt idx="0">
                  <c:v>119203</c:v>
                </c:pt>
                <c:pt idx="1">
                  <c:v>99999</c:v>
                </c:pt>
                <c:pt idx="2">
                  <c:v>227890</c:v>
                </c:pt>
                <c:pt idx="3">
                  <c:v>130301</c:v>
                </c:pt>
                <c:pt idx="4">
                  <c:v>179758</c:v>
                </c:pt>
                <c:pt idx="5">
                  <c:v>160121</c:v>
                </c:pt>
                <c:pt idx="6">
                  <c:v>200000</c:v>
                </c:pt>
                <c:pt idx="7">
                  <c:v>147856</c:v>
                </c:pt>
                <c:pt idx="8">
                  <c:v>78451</c:v>
                </c:pt>
                <c:pt idx="9">
                  <c:v>95321</c:v>
                </c:pt>
                <c:pt idx="10">
                  <c:v>159000</c:v>
                </c:pt>
                <c:pt idx="11">
                  <c:v>146000</c:v>
                </c:pt>
                <c:pt idx="12">
                  <c:v>165225</c:v>
                </c:pt>
                <c:pt idx="13">
                  <c:v>200000</c:v>
                </c:pt>
                <c:pt idx="14">
                  <c:v>165125</c:v>
                </c:pt>
                <c:pt idx="15">
                  <c:v>136000</c:v>
                </c:pt>
                <c:pt idx="16">
                  <c:v>89208</c:v>
                </c:pt>
                <c:pt idx="17">
                  <c:v>178000</c:v>
                </c:pt>
                <c:pt idx="18">
                  <c:v>135798</c:v>
                </c:pt>
                <c:pt idx="19">
                  <c:v>189563</c:v>
                </c:pt>
                <c:pt idx="20">
                  <c:v>144526</c:v>
                </c:pt>
                <c:pt idx="21">
                  <c:v>110000</c:v>
                </c:pt>
                <c:pt idx="22">
                  <c:v>113000</c:v>
                </c:pt>
                <c:pt idx="23">
                  <c:v>181090</c:v>
                </c:pt>
                <c:pt idx="24">
                  <c:v>106000</c:v>
                </c:pt>
                <c:pt idx="25">
                  <c:v>160000</c:v>
                </c:pt>
                <c:pt idx="26">
                  <c:v>195216</c:v>
                </c:pt>
                <c:pt idx="27">
                  <c:v>119800</c:v>
                </c:pt>
                <c:pt idx="28">
                  <c:v>20206</c:v>
                </c:pt>
                <c:pt idx="29">
                  <c:v>148800</c:v>
                </c:pt>
                <c:pt idx="30">
                  <c:v>158963</c:v>
                </c:pt>
                <c:pt idx="31">
                  <c:v>59000</c:v>
                </c:pt>
                <c:pt idx="32">
                  <c:v>85384</c:v>
                </c:pt>
                <c:pt idx="33">
                  <c:v>400000</c:v>
                </c:pt>
                <c:pt idx="34">
                  <c:v>77000</c:v>
                </c:pt>
                <c:pt idx="35">
                  <c:v>165000</c:v>
                </c:pt>
                <c:pt idx="36">
                  <c:v>93610</c:v>
                </c:pt>
                <c:pt idx="37">
                  <c:v>93610</c:v>
                </c:pt>
                <c:pt idx="38">
                  <c:v>158000</c:v>
                </c:pt>
                <c:pt idx="39">
                  <c:v>162300</c:v>
                </c:pt>
                <c:pt idx="40">
                  <c:v>80000</c:v>
                </c:pt>
                <c:pt idx="41">
                  <c:v>99050</c:v>
                </c:pt>
                <c:pt idx="42">
                  <c:v>81107</c:v>
                </c:pt>
                <c:pt idx="43">
                  <c:v>132462</c:v>
                </c:pt>
                <c:pt idx="44">
                  <c:v>198175</c:v>
                </c:pt>
                <c:pt idx="45">
                  <c:v>85263</c:v>
                </c:pt>
                <c:pt idx="46">
                  <c:v>78000</c:v>
                </c:pt>
                <c:pt idx="47">
                  <c:v>42141</c:v>
                </c:pt>
                <c:pt idx="48">
                  <c:v>99210</c:v>
                </c:pt>
                <c:pt idx="49">
                  <c:v>55000</c:v>
                </c:pt>
                <c:pt idx="50">
                  <c:v>65501</c:v>
                </c:pt>
                <c:pt idx="51">
                  <c:v>55280</c:v>
                </c:pt>
                <c:pt idx="52">
                  <c:v>135700</c:v>
                </c:pt>
                <c:pt idx="53">
                  <c:v>135798</c:v>
                </c:pt>
                <c:pt idx="54">
                  <c:v>189563</c:v>
                </c:pt>
                <c:pt idx="55">
                  <c:v>144526</c:v>
                </c:pt>
                <c:pt idx="56">
                  <c:v>110000</c:v>
                </c:pt>
                <c:pt idx="57">
                  <c:v>113000</c:v>
                </c:pt>
                <c:pt idx="58">
                  <c:v>155000</c:v>
                </c:pt>
                <c:pt idx="59">
                  <c:v>106000</c:v>
                </c:pt>
                <c:pt idx="60">
                  <c:v>111111</c:v>
                </c:pt>
                <c:pt idx="61">
                  <c:v>195216</c:v>
                </c:pt>
                <c:pt idx="62">
                  <c:v>93610</c:v>
                </c:pt>
                <c:pt idx="63">
                  <c:v>93610</c:v>
                </c:pt>
                <c:pt idx="64">
                  <c:v>158000</c:v>
                </c:pt>
                <c:pt idx="65">
                  <c:v>162300</c:v>
                </c:pt>
                <c:pt idx="66">
                  <c:v>80000</c:v>
                </c:pt>
                <c:pt idx="67">
                  <c:v>99050</c:v>
                </c:pt>
                <c:pt idx="68">
                  <c:v>81107</c:v>
                </c:pt>
                <c:pt idx="69">
                  <c:v>132462</c:v>
                </c:pt>
                <c:pt idx="70">
                  <c:v>198175</c:v>
                </c:pt>
                <c:pt idx="71">
                  <c:v>135798</c:v>
                </c:pt>
                <c:pt idx="72">
                  <c:v>189563</c:v>
                </c:pt>
                <c:pt idx="73">
                  <c:v>144526</c:v>
                </c:pt>
                <c:pt idx="74">
                  <c:v>110000</c:v>
                </c:pt>
                <c:pt idx="75">
                  <c:v>113000</c:v>
                </c:pt>
                <c:pt idx="76">
                  <c:v>231000</c:v>
                </c:pt>
                <c:pt idx="77">
                  <c:v>106000</c:v>
                </c:pt>
                <c:pt idx="78">
                  <c:v>198000</c:v>
                </c:pt>
                <c:pt idx="79">
                  <c:v>195216</c:v>
                </c:pt>
                <c:pt idx="80">
                  <c:v>119800</c:v>
                </c:pt>
                <c:pt idx="81">
                  <c:v>123456</c:v>
                </c:pt>
                <c:pt idx="82">
                  <c:v>148800</c:v>
                </c:pt>
                <c:pt idx="83">
                  <c:v>158963</c:v>
                </c:pt>
                <c:pt idx="84">
                  <c:v>59000</c:v>
                </c:pt>
                <c:pt idx="85">
                  <c:v>85384</c:v>
                </c:pt>
                <c:pt idx="86">
                  <c:v>180000</c:v>
                </c:pt>
                <c:pt idx="87">
                  <c:v>77000</c:v>
                </c:pt>
                <c:pt idx="88">
                  <c:v>165000</c:v>
                </c:pt>
                <c:pt idx="89">
                  <c:v>93610</c:v>
                </c:pt>
                <c:pt idx="90">
                  <c:v>175000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7-406B-81A8-CE3EAFED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1344"/>
        <c:axId val="546747248"/>
      </c:scatterChart>
      <c:valAx>
        <c:axId val="546741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7248"/>
        <c:crosses val="autoZero"/>
        <c:crossBetween val="midCat"/>
      </c:valAx>
      <c:valAx>
        <c:axId val="54674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As</a:t>
            </a:r>
            <a:r>
              <a:rPr lang="en-US" b="1" baseline="0">
                <a:solidFill>
                  <a:srgbClr val="0070C0"/>
                </a:solidFill>
              </a:rPr>
              <a:t> Model Year Increases, Milage Decreases</a:t>
            </a:r>
            <a:endParaRPr lang="en-US" b="1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21159667541557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Corr2!$B$1</c:f>
              <c:strCache>
                <c:ptCount val="1"/>
                <c:pt idx="0">
                  <c:v>Odometer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1264216972878"/>
                  <c:y val="-0.4558639545056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Corr2!$A$2:$A$92</c:f>
              <c:numCache>
                <c:formatCode>General</c:formatCode>
                <c:ptCount val="91"/>
                <c:pt idx="0">
                  <c:v>1988</c:v>
                </c:pt>
                <c:pt idx="1">
                  <c:v>1989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1998</c:v>
                </c:pt>
                <c:pt idx="6">
                  <c:v>2000</c:v>
                </c:pt>
                <c:pt idx="7">
                  <c:v>2000</c:v>
                </c:pt>
                <c:pt idx="8">
                  <c:v>2003</c:v>
                </c:pt>
                <c:pt idx="9">
                  <c:v>2003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2005</c:v>
                </c:pt>
                <c:pt idx="14">
                  <c:v>2005</c:v>
                </c:pt>
                <c:pt idx="15">
                  <c:v>2005</c:v>
                </c:pt>
                <c:pt idx="16">
                  <c:v>2006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2008</c:v>
                </c:pt>
                <c:pt idx="23">
                  <c:v>2009</c:v>
                </c:pt>
                <c:pt idx="24">
                  <c:v>2009</c:v>
                </c:pt>
                <c:pt idx="25">
                  <c:v>2009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2013</c:v>
                </c:pt>
                <c:pt idx="39">
                  <c:v>2013</c:v>
                </c:pt>
                <c:pt idx="40">
                  <c:v>2014</c:v>
                </c:pt>
                <c:pt idx="41">
                  <c:v>2014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2017</c:v>
                </c:pt>
                <c:pt idx="47">
                  <c:v>2017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2022</c:v>
                </c:pt>
                <c:pt idx="81">
                  <c:v>2022</c:v>
                </c:pt>
                <c:pt idx="82">
                  <c:v>2022</c:v>
                </c:pt>
                <c:pt idx="83">
                  <c:v>2022</c:v>
                </c:pt>
                <c:pt idx="84">
                  <c:v>2022</c:v>
                </c:pt>
                <c:pt idx="85">
                  <c:v>2022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  <c:pt idx="90">
                  <c:v>2023</c:v>
                </c:pt>
              </c:numCache>
            </c:numRef>
          </c:xVal>
          <c:yVal>
            <c:numRef>
              <c:f>Corr2!$B$2:$B$92</c:f>
              <c:numCache>
                <c:formatCode>General</c:formatCode>
                <c:ptCount val="91"/>
                <c:pt idx="0">
                  <c:v>119203</c:v>
                </c:pt>
                <c:pt idx="1">
                  <c:v>99999</c:v>
                </c:pt>
                <c:pt idx="2">
                  <c:v>247500</c:v>
                </c:pt>
                <c:pt idx="3">
                  <c:v>130301</c:v>
                </c:pt>
                <c:pt idx="4">
                  <c:v>179758</c:v>
                </c:pt>
                <c:pt idx="5">
                  <c:v>160121</c:v>
                </c:pt>
                <c:pt idx="6">
                  <c:v>200000</c:v>
                </c:pt>
                <c:pt idx="7">
                  <c:v>147856</c:v>
                </c:pt>
                <c:pt idx="8">
                  <c:v>78451</c:v>
                </c:pt>
                <c:pt idx="9">
                  <c:v>95321</c:v>
                </c:pt>
                <c:pt idx="10">
                  <c:v>159000</c:v>
                </c:pt>
                <c:pt idx="11">
                  <c:v>146000</c:v>
                </c:pt>
                <c:pt idx="12">
                  <c:v>165225</c:v>
                </c:pt>
                <c:pt idx="13">
                  <c:v>200000</c:v>
                </c:pt>
                <c:pt idx="14">
                  <c:v>165125</c:v>
                </c:pt>
                <c:pt idx="15">
                  <c:v>136000</c:v>
                </c:pt>
                <c:pt idx="16">
                  <c:v>89208</c:v>
                </c:pt>
                <c:pt idx="17">
                  <c:v>78900</c:v>
                </c:pt>
                <c:pt idx="18">
                  <c:v>135798</c:v>
                </c:pt>
                <c:pt idx="19">
                  <c:v>189563</c:v>
                </c:pt>
                <c:pt idx="20">
                  <c:v>144526</c:v>
                </c:pt>
                <c:pt idx="21">
                  <c:v>110000</c:v>
                </c:pt>
                <c:pt idx="22">
                  <c:v>113000</c:v>
                </c:pt>
                <c:pt idx="23">
                  <c:v>18061</c:v>
                </c:pt>
                <c:pt idx="24">
                  <c:v>106000</c:v>
                </c:pt>
                <c:pt idx="25">
                  <c:v>18000</c:v>
                </c:pt>
                <c:pt idx="26">
                  <c:v>195216</c:v>
                </c:pt>
                <c:pt idx="27">
                  <c:v>119800</c:v>
                </c:pt>
                <c:pt idx="28">
                  <c:v>20206</c:v>
                </c:pt>
                <c:pt idx="29">
                  <c:v>148800</c:v>
                </c:pt>
                <c:pt idx="30">
                  <c:v>158963</c:v>
                </c:pt>
                <c:pt idx="31">
                  <c:v>59000</c:v>
                </c:pt>
                <c:pt idx="32">
                  <c:v>85384</c:v>
                </c:pt>
                <c:pt idx="33">
                  <c:v>253098</c:v>
                </c:pt>
                <c:pt idx="34">
                  <c:v>77000</c:v>
                </c:pt>
                <c:pt idx="35">
                  <c:v>165000</c:v>
                </c:pt>
                <c:pt idx="36">
                  <c:v>93610</c:v>
                </c:pt>
                <c:pt idx="37">
                  <c:v>93610</c:v>
                </c:pt>
                <c:pt idx="38">
                  <c:v>158000</c:v>
                </c:pt>
                <c:pt idx="39">
                  <c:v>162300</c:v>
                </c:pt>
                <c:pt idx="40">
                  <c:v>80000</c:v>
                </c:pt>
                <c:pt idx="41">
                  <c:v>99050</c:v>
                </c:pt>
                <c:pt idx="42">
                  <c:v>81107</c:v>
                </c:pt>
                <c:pt idx="43">
                  <c:v>132462</c:v>
                </c:pt>
                <c:pt idx="44">
                  <c:v>198175</c:v>
                </c:pt>
                <c:pt idx="45">
                  <c:v>85263</c:v>
                </c:pt>
                <c:pt idx="46">
                  <c:v>78000</c:v>
                </c:pt>
                <c:pt idx="47">
                  <c:v>42141</c:v>
                </c:pt>
                <c:pt idx="48">
                  <c:v>99210</c:v>
                </c:pt>
                <c:pt idx="49">
                  <c:v>55000</c:v>
                </c:pt>
                <c:pt idx="50">
                  <c:v>65501</c:v>
                </c:pt>
                <c:pt idx="51">
                  <c:v>55280</c:v>
                </c:pt>
                <c:pt idx="52">
                  <c:v>135700</c:v>
                </c:pt>
                <c:pt idx="53">
                  <c:v>54900</c:v>
                </c:pt>
                <c:pt idx="54">
                  <c:v>23165</c:v>
                </c:pt>
                <c:pt idx="55">
                  <c:v>34358</c:v>
                </c:pt>
                <c:pt idx="56">
                  <c:v>32812</c:v>
                </c:pt>
                <c:pt idx="57">
                  <c:v>28246</c:v>
                </c:pt>
                <c:pt idx="58">
                  <c:v>25000</c:v>
                </c:pt>
                <c:pt idx="59">
                  <c:v>20012</c:v>
                </c:pt>
                <c:pt idx="60">
                  <c:v>30000</c:v>
                </c:pt>
                <c:pt idx="61">
                  <c:v>13975</c:v>
                </c:pt>
                <c:pt idx="62">
                  <c:v>5757</c:v>
                </c:pt>
                <c:pt idx="63">
                  <c:v>26000</c:v>
                </c:pt>
                <c:pt idx="64">
                  <c:v>14517</c:v>
                </c:pt>
                <c:pt idx="65">
                  <c:v>30890</c:v>
                </c:pt>
                <c:pt idx="66">
                  <c:v>15305</c:v>
                </c:pt>
                <c:pt idx="67">
                  <c:v>7500</c:v>
                </c:pt>
                <c:pt idx="68">
                  <c:v>28000</c:v>
                </c:pt>
                <c:pt idx="69">
                  <c:v>26987</c:v>
                </c:pt>
                <c:pt idx="70">
                  <c:v>8000</c:v>
                </c:pt>
                <c:pt idx="71">
                  <c:v>17650</c:v>
                </c:pt>
                <c:pt idx="72">
                  <c:v>17650</c:v>
                </c:pt>
                <c:pt idx="73">
                  <c:v>15168</c:v>
                </c:pt>
                <c:pt idx="74">
                  <c:v>12350</c:v>
                </c:pt>
                <c:pt idx="75">
                  <c:v>33551</c:v>
                </c:pt>
                <c:pt idx="76">
                  <c:v>11456</c:v>
                </c:pt>
                <c:pt idx="77">
                  <c:v>1505</c:v>
                </c:pt>
                <c:pt idx="78">
                  <c:v>2134</c:v>
                </c:pt>
                <c:pt idx="79">
                  <c:v>3546</c:v>
                </c:pt>
                <c:pt idx="80">
                  <c:v>3546</c:v>
                </c:pt>
                <c:pt idx="81">
                  <c:v>1700</c:v>
                </c:pt>
                <c:pt idx="82">
                  <c:v>2567</c:v>
                </c:pt>
                <c:pt idx="83">
                  <c:v>1000</c:v>
                </c:pt>
                <c:pt idx="84">
                  <c:v>1978</c:v>
                </c:pt>
                <c:pt idx="85">
                  <c:v>123</c:v>
                </c:pt>
                <c:pt idx="86">
                  <c:v>3000</c:v>
                </c:pt>
                <c:pt idx="87">
                  <c:v>478</c:v>
                </c:pt>
                <c:pt idx="88">
                  <c:v>1200</c:v>
                </c:pt>
                <c:pt idx="89">
                  <c:v>1656</c:v>
                </c:pt>
                <c:pt idx="90">
                  <c:v>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E-40B2-804B-CE6B2832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1344"/>
        <c:axId val="546747248"/>
      </c:scatterChart>
      <c:valAx>
        <c:axId val="546741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7248"/>
        <c:crosses val="autoZero"/>
        <c:crossBetween val="midCat"/>
      </c:valAx>
      <c:valAx>
        <c:axId val="54674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Odometer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equation and the r-square are available in excel graphs using</a:t>
            </a:r>
            <a:r>
              <a:rPr lang="en-US" b="1" baseline="0"/>
              <a:t> trendline&gt;options&gt;checkbox</a:t>
            </a:r>
            <a:endParaRPr lang="en-US" b="1"/>
          </a:p>
        </c:rich>
      </c:tx>
      <c:layout>
        <c:manualLayout>
          <c:xMode val="edge"/>
          <c:yMode val="edge"/>
          <c:x val="0.1452360017497812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LinReg!$C$1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100393700787404E-2"/>
                  <c:y val="0.26305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LinReg!$B$2:$B$21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LinReg!$C$2:$C$21</c:f>
              <c:numCache>
                <c:formatCode>0.00</c:formatCode>
                <c:ptCount val="20"/>
                <c:pt idx="0">
                  <c:v>1.1599999999999999</c:v>
                </c:pt>
                <c:pt idx="1">
                  <c:v>1.88</c:v>
                </c:pt>
                <c:pt idx="2">
                  <c:v>2.71</c:v>
                </c:pt>
                <c:pt idx="3">
                  <c:v>2.57</c:v>
                </c:pt>
                <c:pt idx="4">
                  <c:v>3.09</c:v>
                </c:pt>
                <c:pt idx="5">
                  <c:v>2.85</c:v>
                </c:pt>
                <c:pt idx="6">
                  <c:v>2.99</c:v>
                </c:pt>
                <c:pt idx="7">
                  <c:v>1.99</c:v>
                </c:pt>
                <c:pt idx="8">
                  <c:v>2.4300000000000002</c:v>
                </c:pt>
                <c:pt idx="9">
                  <c:v>2.11</c:v>
                </c:pt>
                <c:pt idx="10">
                  <c:v>3.76</c:v>
                </c:pt>
                <c:pt idx="11">
                  <c:v>3.55</c:v>
                </c:pt>
                <c:pt idx="12">
                  <c:v>2.99</c:v>
                </c:pt>
                <c:pt idx="13">
                  <c:v>3.89</c:v>
                </c:pt>
                <c:pt idx="14">
                  <c:v>4.2300000000000004</c:v>
                </c:pt>
                <c:pt idx="15">
                  <c:v>4.13</c:v>
                </c:pt>
                <c:pt idx="16">
                  <c:v>4.5599999999999996</c:v>
                </c:pt>
                <c:pt idx="17">
                  <c:v>4.22</c:v>
                </c:pt>
                <c:pt idx="18">
                  <c:v>3.99</c:v>
                </c:pt>
                <c:pt idx="19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D-4482-B1D9-998F4BD5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65528"/>
        <c:axId val="938867168"/>
      </c:scatterChart>
      <c:valAx>
        <c:axId val="9388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7168"/>
        <c:crosses val="autoZero"/>
        <c:crossBetween val="midCat"/>
      </c:valAx>
      <c:valAx>
        <c:axId val="938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5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48421381148667"/>
                  <c:y val="-0.12071151261703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OutlierLinReg!$B$2:$B$13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C70-91C9-262A4C23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Left-hand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67009033228147"/>
                  <c:y val="-9.7228149562765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OutlierLinReg!$T$3:$T$14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C-4892-BC47-9C69DEFB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117474</xdr:colOff>
      <xdr:row>4</xdr:row>
      <xdr:rowOff>53975</xdr:rowOff>
    </xdr:from>
    <xdr:to>
      <xdr:col>26</xdr:col>
      <xdr:colOff>190499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6A1A2-21EA-4BAE-3A01-4733C1BD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146050</xdr:colOff>
      <xdr:row>2</xdr:row>
      <xdr:rowOff>120977</xdr:rowOff>
    </xdr:from>
    <xdr:to>
      <xdr:col>19</xdr:col>
      <xdr:colOff>254000</xdr:colOff>
      <xdr:row>13</xdr:row>
      <xdr:rowOff>151898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0F76920-6C40-3E32-A0F3-66F3D80CC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0" y="501977"/>
          <a:ext cx="4375150" cy="2062921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19050">
          <a:solidFill>
            <a:schemeClr val="accent1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88106</xdr:colOff>
      <xdr:row>1</xdr:row>
      <xdr:rowOff>35719</xdr:rowOff>
    </xdr:from>
    <xdr:to>
      <xdr:col>12</xdr:col>
      <xdr:colOff>126206</xdr:colOff>
      <xdr:row>16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AD9AB-BABC-0965-95D7-0C5C7D46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311150</xdr:colOff>
      <xdr:row>3</xdr:row>
      <xdr:rowOff>146050</xdr:rowOff>
    </xdr:from>
    <xdr:to>
      <xdr:col>27</xdr:col>
      <xdr:colOff>311150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B3E0A-7DBC-0EEE-F7E8-B50953F6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14</xdr:row>
      <xdr:rowOff>38100</xdr:rowOff>
    </xdr:from>
    <xdr:to>
      <xdr:col>27</xdr:col>
      <xdr:colOff>342900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4FC26-8CB1-6231-B98D-E50A9023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2</xdr:row>
      <xdr:rowOff>139699</xdr:rowOff>
    </xdr:from>
    <xdr:to>
      <xdr:col>29</xdr:col>
      <xdr:colOff>76200</xdr:colOff>
      <xdr:row>15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9AB0-969B-E943-3B3B-629F4C62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479425</xdr:colOff>
      <xdr:row>0</xdr:row>
      <xdr:rowOff>177800</xdr:rowOff>
    </xdr:from>
    <xdr:to>
      <xdr:col>17</xdr:col>
      <xdr:colOff>174625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52831-6553-4A5F-9963-5717BDF05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57150</xdr:rowOff>
    </xdr:from>
    <xdr:to>
      <xdr:col>14</xdr:col>
      <xdr:colOff>307975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19B40-2BCE-059C-C76B-690859B3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2</xdr:row>
      <xdr:rowOff>28575</xdr:rowOff>
    </xdr:from>
    <xdr:to>
      <xdr:col>20</xdr:col>
      <xdr:colOff>9525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32ECE-4404-66CE-7670-FC07181D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92075</xdr:rowOff>
    </xdr:from>
    <xdr:to>
      <xdr:col>9</xdr:col>
      <xdr:colOff>438150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4C98D-1D67-EAFA-5DF1-8C4EDDD79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0</xdr:row>
      <xdr:rowOff>107950</xdr:rowOff>
    </xdr:from>
    <xdr:to>
      <xdr:col>16</xdr:col>
      <xdr:colOff>574675</xdr:colOff>
      <xdr:row>15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E2B97-00CA-4737-BE81-47472FCCA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21167</xdr:colOff>
      <xdr:row>16</xdr:row>
      <xdr:rowOff>84667</xdr:rowOff>
    </xdr:from>
    <xdr:to>
      <xdr:col>9</xdr:col>
      <xdr:colOff>485069</xdr:colOff>
      <xdr:row>31</xdr:row>
      <xdr:rowOff>37042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6AD31-EB94-4D71-83A9-0994F8342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112889</xdr:colOff>
      <xdr:row>16</xdr:row>
      <xdr:rowOff>56445</xdr:rowOff>
    </xdr:from>
    <xdr:to>
      <xdr:col>16</xdr:col>
      <xdr:colOff>576792</xdr:colOff>
      <xdr:row>31</xdr:row>
      <xdr:rowOff>8820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F3CA1-262A-4F9D-8153-841221DD8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538161</xdr:colOff>
      <xdr:row>0</xdr:row>
      <xdr:rowOff>161908</xdr:rowOff>
    </xdr:from>
    <xdr:to>
      <xdr:col>24</xdr:col>
      <xdr:colOff>388496</xdr:colOff>
      <xdr:row>10</xdr:row>
      <xdr:rowOff>110333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BE04D0-DC49-054D-CDA3-E325058E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8646" y="161908"/>
          <a:ext cx="3743679" cy="1746269"/>
        </a:xfrm>
        <a:prstGeom prst="rect">
          <a:avLst/>
        </a:prstGeom>
      </xdr:spPr>
    </xdr:pic>
    <xdr:clientData/>
  </xdr:twoCellAnchor>
  <xdr:twoCellAnchor editAs="oneCell">
    <xdr:from>
      <xdr:col>19</xdr:col>
      <xdr:colOff>3572</xdr:colOff>
      <xdr:row>12</xdr:row>
      <xdr:rowOff>35642</xdr:rowOff>
    </xdr:from>
    <xdr:to>
      <xdr:col>24</xdr:col>
      <xdr:colOff>260109</xdr:colOff>
      <xdr:row>25</xdr:row>
      <xdr:rowOff>57906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8B83E-561A-837A-AB53-1C981AD4B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2947" y="2190673"/>
          <a:ext cx="3500991" cy="23558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133351</xdr:rowOff>
    </xdr:from>
    <xdr:to>
      <xdr:col>1</xdr:col>
      <xdr:colOff>1920121</xdr:colOff>
      <xdr:row>7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55585-357E-4BCD-B18B-3FA32718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23851"/>
          <a:ext cx="1894721" cy="11112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177800</xdr:rowOff>
    </xdr:from>
    <xdr:to>
      <xdr:col>1</xdr:col>
      <xdr:colOff>1923909</xdr:colOff>
      <xdr:row>19</xdr:row>
      <xdr:rowOff>50224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BB3E00-5DBE-4D7E-8D16-3D4111B43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1" y="2241550"/>
          <a:ext cx="1923908" cy="1345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D2" sqref="D2:D18"/>
    </sheetView>
  </sheetViews>
  <sheetFormatPr defaultRowHeight="14.25"/>
  <cols>
    <col min="1" max="1" width="13.53125" style="2" bestFit="1" customWidth="1"/>
    <col min="2" max="4" width="8.73046875" style="2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</row>
    <row r="2" spans="1:6">
      <c r="A2" s="7" t="s">
        <v>4</v>
      </c>
      <c r="B2" s="3">
        <v>214614</v>
      </c>
      <c r="C2" s="3">
        <v>105041</v>
      </c>
      <c r="D2" s="3">
        <v>276350</v>
      </c>
      <c r="F2" t="s">
        <v>5</v>
      </c>
    </row>
    <row r="3" spans="1:6">
      <c r="A3" s="7" t="s">
        <v>6</v>
      </c>
      <c r="B3" s="3">
        <v>184139</v>
      </c>
      <c r="C3" s="3">
        <v>94274</v>
      </c>
      <c r="D3" s="3">
        <v>257710</v>
      </c>
      <c r="F3" t="s">
        <v>7</v>
      </c>
    </row>
    <row r="4" spans="1:6">
      <c r="A4" s="7" t="s">
        <v>8</v>
      </c>
      <c r="B4" s="3">
        <v>181890</v>
      </c>
      <c r="C4" s="3">
        <v>90637</v>
      </c>
      <c r="D4" s="3">
        <v>261840</v>
      </c>
      <c r="F4" t="s">
        <v>9</v>
      </c>
    </row>
    <row r="5" spans="1:6">
      <c r="A5" s="7" t="s">
        <v>10</v>
      </c>
      <c r="B5" s="3">
        <v>206776</v>
      </c>
      <c r="C5" s="3">
        <v>97389</v>
      </c>
      <c r="D5" s="3">
        <v>287958</v>
      </c>
      <c r="F5" t="s">
        <v>11</v>
      </c>
    </row>
    <row r="6" spans="1:6">
      <c r="A6" s="7" t="s">
        <v>12</v>
      </c>
      <c r="B6" s="3">
        <v>157216</v>
      </c>
      <c r="C6" s="3">
        <v>72931</v>
      </c>
      <c r="D6" s="3">
        <v>206341</v>
      </c>
      <c r="F6" t="s">
        <v>13</v>
      </c>
    </row>
    <row r="7" spans="1:6">
      <c r="A7" s="7" t="s">
        <v>14</v>
      </c>
      <c r="B7" s="3">
        <v>162788</v>
      </c>
      <c r="C7" s="3">
        <v>76218</v>
      </c>
      <c r="D7" s="3">
        <v>220765</v>
      </c>
    </row>
    <row r="8" spans="1:6">
      <c r="A8" s="7" t="s">
        <v>15</v>
      </c>
      <c r="B8" s="3">
        <v>199942</v>
      </c>
      <c r="C8" s="3">
        <v>93923</v>
      </c>
      <c r="D8" s="3">
        <v>270730</v>
      </c>
    </row>
    <row r="9" spans="1:6">
      <c r="A9" s="7" t="s">
        <v>16</v>
      </c>
      <c r="B9" s="3">
        <v>159823</v>
      </c>
      <c r="C9" s="3">
        <v>79129</v>
      </c>
      <c r="D9" s="3">
        <v>226780</v>
      </c>
    </row>
    <row r="10" spans="1:6">
      <c r="A10" s="7" t="s">
        <v>17</v>
      </c>
      <c r="B10" s="3">
        <v>156611</v>
      </c>
      <c r="C10" s="3">
        <v>76220</v>
      </c>
      <c r="D10" s="3">
        <v>222840</v>
      </c>
    </row>
    <row r="11" spans="1:6">
      <c r="A11" s="7" t="s">
        <v>18</v>
      </c>
      <c r="B11" s="3">
        <v>202864</v>
      </c>
      <c r="C11" s="3">
        <v>93570</v>
      </c>
      <c r="D11" s="3">
        <v>269274</v>
      </c>
    </row>
    <row r="12" spans="1:6">
      <c r="A12" s="7" t="s">
        <v>19</v>
      </c>
      <c r="B12" s="3">
        <v>142727</v>
      </c>
      <c r="C12" s="3">
        <v>67133</v>
      </c>
      <c r="D12" s="3">
        <v>192338</v>
      </c>
    </row>
    <row r="13" spans="1:6">
      <c r="A13" s="7" t="s">
        <v>20</v>
      </c>
      <c r="B13" s="3">
        <v>175436</v>
      </c>
      <c r="C13" s="3">
        <v>82871</v>
      </c>
      <c r="D13" s="3">
        <v>228770</v>
      </c>
    </row>
    <row r="14" spans="1:6">
      <c r="A14" s="7" t="s">
        <v>21</v>
      </c>
      <c r="B14" s="3">
        <v>243729</v>
      </c>
      <c r="C14" s="3">
        <v>104818</v>
      </c>
      <c r="D14" s="3">
        <v>298108</v>
      </c>
    </row>
    <row r="15" spans="1:6">
      <c r="A15" s="7" t="s">
        <v>22</v>
      </c>
      <c r="B15" s="3">
        <v>184731</v>
      </c>
      <c r="C15" s="3">
        <v>93597</v>
      </c>
      <c r="D15" s="3">
        <v>280787</v>
      </c>
    </row>
    <row r="16" spans="1:6">
      <c r="A16" s="7" t="s">
        <v>23</v>
      </c>
      <c r="B16" s="3">
        <v>154946</v>
      </c>
      <c r="C16" s="3">
        <v>71543</v>
      </c>
      <c r="D16" s="3">
        <v>221966</v>
      </c>
    </row>
    <row r="17" spans="1:4">
      <c r="A17" s="7" t="s">
        <v>24</v>
      </c>
      <c r="B17" s="3">
        <v>187251</v>
      </c>
      <c r="C17" s="3">
        <v>86695</v>
      </c>
      <c r="D17" s="3">
        <v>271892</v>
      </c>
    </row>
    <row r="18" spans="1:4">
      <c r="A18" s="7" t="s">
        <v>25</v>
      </c>
      <c r="B18" s="3">
        <v>148048</v>
      </c>
      <c r="C18" s="3">
        <v>80443</v>
      </c>
      <c r="D18" s="3">
        <v>235445</v>
      </c>
    </row>
    <row r="19" spans="1:4">
      <c r="A19" s="7" t="s">
        <v>26</v>
      </c>
      <c r="B19" s="3">
        <v>149592</v>
      </c>
      <c r="C19" s="3">
        <v>74401</v>
      </c>
      <c r="D19" s="3">
        <v>224228</v>
      </c>
    </row>
    <row r="20" spans="1:4">
      <c r="A20" s="7" t="s">
        <v>27</v>
      </c>
      <c r="B20" s="3">
        <v>187494</v>
      </c>
      <c r="C20" s="3">
        <v>94938</v>
      </c>
      <c r="D20" s="3">
        <v>266705</v>
      </c>
    </row>
    <row r="21" spans="1:4">
      <c r="A21" s="7" t="s">
        <v>28</v>
      </c>
      <c r="B21" s="3">
        <v>159943</v>
      </c>
      <c r="C21" s="3">
        <v>79817</v>
      </c>
      <c r="D21" s="3">
        <v>225428</v>
      </c>
    </row>
    <row r="22" spans="1:4">
      <c r="A22" s="7" t="s">
        <v>29</v>
      </c>
      <c r="B22" s="3">
        <v>162522</v>
      </c>
      <c r="C22" s="3">
        <v>77565</v>
      </c>
      <c r="D22" s="3">
        <v>220880</v>
      </c>
    </row>
    <row r="23" spans="1:4">
      <c r="A23" s="7" t="s">
        <v>30</v>
      </c>
      <c r="B23" s="3">
        <v>210126</v>
      </c>
      <c r="C23" s="3">
        <v>94521</v>
      </c>
      <c r="D23" s="3">
        <v>285372</v>
      </c>
    </row>
    <row r="24" spans="1:4">
      <c r="A24" s="7" t="s">
        <v>31</v>
      </c>
      <c r="B24" s="3">
        <v>155471</v>
      </c>
      <c r="C24" s="3">
        <v>72189</v>
      </c>
      <c r="D24" s="3">
        <v>211952</v>
      </c>
    </row>
    <row r="25" spans="1:4">
      <c r="A25" s="7" t="s">
        <v>32</v>
      </c>
      <c r="B25" s="3">
        <v>140410</v>
      </c>
      <c r="C25" s="3">
        <v>64802</v>
      </c>
      <c r="D25" s="3">
        <v>193371</v>
      </c>
    </row>
    <row r="26" spans="1:4">
      <c r="A26" s="7" t="s">
        <v>33</v>
      </c>
      <c r="B26" s="3">
        <v>234018</v>
      </c>
      <c r="C26" s="3">
        <v>106577</v>
      </c>
      <c r="D26" s="3">
        <v>334293</v>
      </c>
    </row>
    <row r="27" spans="1:4">
      <c r="A27" s="7" t="s">
        <v>34</v>
      </c>
      <c r="B27" s="3">
        <v>181881</v>
      </c>
      <c r="C27" s="3">
        <v>81117</v>
      </c>
      <c r="D27" s="3">
        <v>221926</v>
      </c>
    </row>
    <row r="28" spans="1:4">
      <c r="A28" s="7" t="s">
        <v>35</v>
      </c>
      <c r="B28" s="3">
        <v>178063</v>
      </c>
      <c r="C28" s="3">
        <v>81456</v>
      </c>
      <c r="D28" s="3">
        <v>274087</v>
      </c>
    </row>
    <row r="29" spans="1:4">
      <c r="A29" s="7" t="s">
        <v>36</v>
      </c>
      <c r="B29" s="3">
        <v>204873</v>
      </c>
      <c r="C29" s="3">
        <v>96183</v>
      </c>
      <c r="D29" s="3">
        <v>319566</v>
      </c>
    </row>
    <row r="30" spans="1:4">
      <c r="A30" s="7" t="s">
        <v>37</v>
      </c>
      <c r="B30" s="3">
        <v>148073</v>
      </c>
      <c r="C30" s="3">
        <v>73731</v>
      </c>
      <c r="D30" s="3">
        <v>221783</v>
      </c>
    </row>
    <row r="31" spans="1:4">
      <c r="A31" s="7" t="s">
        <v>38</v>
      </c>
      <c r="B31" s="3">
        <v>148728</v>
      </c>
      <c r="C31" s="3">
        <v>72938</v>
      </c>
      <c r="D31" s="3">
        <v>221368</v>
      </c>
    </row>
    <row r="32" spans="1:4">
      <c r="A32" s="7" t="s">
        <v>39</v>
      </c>
      <c r="B32" s="3">
        <v>183388</v>
      </c>
      <c r="C32" s="3">
        <v>91548</v>
      </c>
      <c r="D32" s="3">
        <v>272960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69E-AB13-4F2C-A28B-EB56B2FB02D1}">
  <dimension ref="A1:Q9"/>
  <sheetViews>
    <sheetView showGridLines="0" topLeftCell="G1" zoomScale="90" zoomScaleNormal="90" workbookViewId="0">
      <selection activeCell="K5" sqref="K5"/>
    </sheetView>
  </sheetViews>
  <sheetFormatPr defaultRowHeight="14.25"/>
  <cols>
    <col min="7" max="7" width="9.59765625" customWidth="1"/>
    <col min="9" max="9" width="40.46484375" customWidth="1"/>
    <col min="10" max="10" width="9.73046875" customWidth="1"/>
    <col min="17" max="17" width="10.19921875" customWidth="1"/>
  </cols>
  <sheetData>
    <row r="1" spans="1:17">
      <c r="A1" s="293" t="s">
        <v>282</v>
      </c>
      <c r="B1" s="293"/>
      <c r="C1" s="293"/>
      <c r="D1" s="293"/>
      <c r="E1" s="293"/>
      <c r="F1" s="293"/>
      <c r="G1" s="293"/>
      <c r="J1" s="141" t="s">
        <v>281</v>
      </c>
    </row>
    <row r="2" spans="1:17">
      <c r="J2" s="141"/>
    </row>
    <row r="3" spans="1:17">
      <c r="F3" s="162" t="s">
        <v>283</v>
      </c>
      <c r="P3" s="21" t="s">
        <v>283</v>
      </c>
    </row>
    <row r="4" spans="1:17">
      <c r="A4" s="20">
        <v>1899</v>
      </c>
      <c r="B4" s="20">
        <v>1946</v>
      </c>
      <c r="C4" s="20">
        <v>1955</v>
      </c>
      <c r="D4" s="20">
        <v>1976</v>
      </c>
      <c r="E4" s="20">
        <v>2023</v>
      </c>
      <c r="F4" s="219"/>
      <c r="G4" s="176" t="s">
        <v>285</v>
      </c>
      <c r="K4" s="20">
        <v>1899</v>
      </c>
      <c r="L4" s="20">
        <v>1928</v>
      </c>
      <c r="M4" s="20">
        <v>1941</v>
      </c>
      <c r="N4" s="20">
        <v>1976</v>
      </c>
      <c r="O4" s="20">
        <v>2023</v>
      </c>
      <c r="P4" s="20">
        <f>AVERAGE(K4:O4)</f>
        <v>1953.4</v>
      </c>
      <c r="Q4" s="162" t="s">
        <v>285</v>
      </c>
    </row>
    <row r="5" spans="1:17">
      <c r="A5" s="219"/>
      <c r="B5" s="219"/>
      <c r="C5" s="219"/>
      <c r="D5" s="219"/>
      <c r="E5" s="219"/>
      <c r="F5" s="219"/>
      <c r="G5" s="176" t="s">
        <v>284</v>
      </c>
      <c r="K5" s="22">
        <f>K4/$P$4</f>
        <v>0.97215112112214597</v>
      </c>
      <c r="L5" s="22">
        <f t="shared" ref="L5:O5" si="0">L4/$P$4</f>
        <v>0.98699703081806078</v>
      </c>
      <c r="M5" s="22">
        <f t="shared" si="0"/>
        <v>0.99365209378519503</v>
      </c>
      <c r="N5" s="22">
        <f t="shared" si="0"/>
        <v>1.0115695710044026</v>
      </c>
      <c r="O5" s="22">
        <f t="shared" si="0"/>
        <v>1.0356301832701955</v>
      </c>
      <c r="P5" s="13"/>
      <c r="Q5" s="176" t="s">
        <v>284</v>
      </c>
    </row>
    <row r="6" spans="1:17">
      <c r="K6" s="26"/>
      <c r="L6" s="26"/>
      <c r="M6" s="26"/>
      <c r="N6" s="26"/>
      <c r="O6" s="26"/>
    </row>
    <row r="9" spans="1:17">
      <c r="N9" t="str">
        <f ca="1">_xlfn.FORMULATEXT(K5)</f>
        <v>=K4/$P$4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287E-09AC-4204-886D-3233F102A24F}">
  <dimension ref="B1:R13"/>
  <sheetViews>
    <sheetView showGridLines="0" workbookViewId="0">
      <selection activeCell="H11" sqref="H10:H11"/>
    </sheetView>
  </sheetViews>
  <sheetFormatPr defaultRowHeight="14.25"/>
  <cols>
    <col min="2" max="2" width="8.73046875" style="19"/>
    <col min="5" max="5" width="6.46484375" customWidth="1"/>
    <col min="6" max="6" width="10.33203125" customWidth="1"/>
    <col min="7" max="7" width="9.796875" customWidth="1"/>
    <col min="8" max="8" width="14" customWidth="1"/>
    <col min="11" max="11" width="23.265625" customWidth="1"/>
  </cols>
  <sheetData>
    <row r="1" spans="2:18" ht="14.65" thickBot="1">
      <c r="B1" s="181" t="s">
        <v>337</v>
      </c>
      <c r="C1" s="162"/>
      <c r="D1" s="162"/>
      <c r="E1" s="162"/>
      <c r="F1" s="162"/>
      <c r="G1" s="162"/>
      <c r="H1" s="95"/>
      <c r="L1" s="141" t="s">
        <v>292</v>
      </c>
    </row>
    <row r="2" spans="2:18" ht="14.65" thickBot="1">
      <c r="B2" s="182" t="s">
        <v>288</v>
      </c>
      <c r="C2" s="183"/>
      <c r="D2" s="183"/>
      <c r="E2" s="183"/>
      <c r="F2" s="184"/>
      <c r="G2" s="95"/>
      <c r="H2" s="220"/>
      <c r="O2" s="8" t="s">
        <v>293</v>
      </c>
    </row>
    <row r="3" spans="2:18" ht="14.65" thickBot="1">
      <c r="B3" s="182" t="s">
        <v>290</v>
      </c>
      <c r="C3" s="183"/>
      <c r="D3" s="183"/>
      <c r="E3" s="183"/>
      <c r="F3" s="184"/>
      <c r="G3" s="95"/>
      <c r="H3" s="220"/>
      <c r="O3" s="8" t="s">
        <v>294</v>
      </c>
    </row>
    <row r="4" spans="2:18" ht="14.65" thickBot="1">
      <c r="B4" s="182" t="s">
        <v>291</v>
      </c>
      <c r="C4" s="183"/>
      <c r="D4" s="183"/>
      <c r="E4" s="183"/>
      <c r="F4" s="184"/>
      <c r="G4" s="95"/>
      <c r="H4" s="220"/>
      <c r="O4" s="8" t="s">
        <v>296</v>
      </c>
    </row>
    <row r="5" spans="2:18">
      <c r="B5" s="139"/>
    </row>
    <row r="6" spans="2:18" s="49" customFormat="1" ht="42.75">
      <c r="C6" s="177" t="s">
        <v>286</v>
      </c>
      <c r="D6" s="177" t="s">
        <v>287</v>
      </c>
      <c r="E6" s="178" t="s">
        <v>289</v>
      </c>
      <c r="O6" s="177" t="s">
        <v>286</v>
      </c>
      <c r="P6" s="177" t="s">
        <v>287</v>
      </c>
      <c r="Q6" s="178" t="s">
        <v>289</v>
      </c>
    </row>
    <row r="7" spans="2:18">
      <c r="B7"/>
      <c r="C7" s="20">
        <v>105</v>
      </c>
      <c r="D7" s="20">
        <v>129</v>
      </c>
      <c r="E7" s="219"/>
      <c r="O7" s="20">
        <v>105</v>
      </c>
      <c r="P7" s="20">
        <v>129</v>
      </c>
      <c r="Q7" s="20">
        <f>P7-O7</f>
        <v>24</v>
      </c>
    </row>
    <row r="8" spans="2:18">
      <c r="B8"/>
      <c r="C8" s="20">
        <v>158</v>
      </c>
      <c r="D8" s="20">
        <v>158</v>
      </c>
      <c r="E8" s="219"/>
      <c r="O8" s="20">
        <v>158</v>
      </c>
      <c r="P8" s="20">
        <v>158</v>
      </c>
      <c r="Q8" s="20">
        <f t="shared" ref="Q8:Q11" si="0">P8-O8</f>
        <v>0</v>
      </c>
    </row>
    <row r="9" spans="2:18">
      <c r="B9"/>
      <c r="C9" s="20">
        <v>126</v>
      </c>
      <c r="D9" s="20">
        <v>126</v>
      </c>
      <c r="E9" s="219"/>
      <c r="O9" s="20">
        <v>126</v>
      </c>
      <c r="P9" s="20">
        <v>126</v>
      </c>
      <c r="Q9" s="20">
        <f t="shared" si="0"/>
        <v>0</v>
      </c>
    </row>
    <row r="10" spans="2:18">
      <c r="B10"/>
      <c r="C10" s="20">
        <v>138</v>
      </c>
      <c r="D10" s="20">
        <v>138</v>
      </c>
      <c r="E10" s="219"/>
      <c r="O10" s="20">
        <v>138</v>
      </c>
      <c r="P10" s="20">
        <v>138</v>
      </c>
      <c r="Q10" s="20">
        <f t="shared" si="0"/>
        <v>0</v>
      </c>
    </row>
    <row r="11" spans="2:18" ht="14.65" thickBot="1">
      <c r="B11"/>
      <c r="C11" s="179">
        <v>223</v>
      </c>
      <c r="D11" s="179">
        <v>289</v>
      </c>
      <c r="E11" s="219"/>
      <c r="O11" s="20">
        <v>223</v>
      </c>
      <c r="P11" s="20">
        <v>289</v>
      </c>
      <c r="Q11" s="20">
        <f t="shared" si="0"/>
        <v>66</v>
      </c>
      <c r="R11" s="28" t="s">
        <v>295</v>
      </c>
    </row>
    <row r="12" spans="2:18" ht="14.65" thickBot="1">
      <c r="B12" s="224" t="s">
        <v>40</v>
      </c>
      <c r="C12" s="222"/>
      <c r="D12" s="221"/>
      <c r="N12" s="8" t="s">
        <v>40</v>
      </c>
      <c r="O12" s="19">
        <f>AVERAGE(O7:O11)</f>
        <v>150</v>
      </c>
      <c r="P12" s="19">
        <f>AVERAGE(P7:P11)</f>
        <v>168</v>
      </c>
      <c r="R12" s="180">
        <f>(P12/O12-1)</f>
        <v>0.12000000000000011</v>
      </c>
    </row>
    <row r="13" spans="2:18" ht="14.65" thickBot="1">
      <c r="B13" s="223" t="s">
        <v>41</v>
      </c>
      <c r="C13" s="222"/>
      <c r="D13" s="221"/>
      <c r="N13" s="8" t="s">
        <v>41</v>
      </c>
      <c r="O13" s="19">
        <f>MEDIAN(O7:O11)</f>
        <v>138</v>
      </c>
      <c r="P13" s="19">
        <f>MEDIAN(P7:P11)</f>
        <v>138</v>
      </c>
      <c r="R13" s="180">
        <f>100%*(P13/O13-1)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4A3C-57BE-479A-9EA5-620AA6600AD0}">
  <dimension ref="B1:AB21"/>
  <sheetViews>
    <sheetView showGridLines="0" workbookViewId="0">
      <selection activeCell="J12" sqref="J12"/>
    </sheetView>
  </sheetViews>
  <sheetFormatPr defaultRowHeight="14.25"/>
  <cols>
    <col min="2" max="2" width="6.33203125" style="19" customWidth="1"/>
    <col min="8" max="8" width="9.33203125" customWidth="1"/>
    <col min="9" max="9" width="10.19921875" customWidth="1"/>
    <col min="13" max="13" width="58.33203125" customWidth="1"/>
    <col min="16" max="16" width="6.33203125" style="19" customWidth="1"/>
  </cols>
  <sheetData>
    <row r="1" spans="2:28">
      <c r="B1" s="15" t="s">
        <v>96</v>
      </c>
      <c r="D1" s="192" t="s">
        <v>338</v>
      </c>
      <c r="E1" s="167"/>
      <c r="F1" s="167"/>
      <c r="G1" s="167"/>
      <c r="H1" s="167"/>
      <c r="I1" s="168"/>
      <c r="N1" s="141" t="s">
        <v>201</v>
      </c>
      <c r="P1" s="15" t="s">
        <v>97</v>
      </c>
      <c r="R1" s="192" t="s">
        <v>303</v>
      </c>
      <c r="S1" s="167"/>
      <c r="T1" s="167"/>
      <c r="U1" s="167"/>
      <c r="V1" s="167"/>
      <c r="W1" s="167"/>
      <c r="X1" s="168"/>
    </row>
    <row r="2" spans="2:28">
      <c r="B2" s="20">
        <v>33</v>
      </c>
      <c r="D2" s="169" t="s">
        <v>341</v>
      </c>
      <c r="E2" s="170"/>
      <c r="F2" s="170"/>
      <c r="G2" s="170"/>
      <c r="H2" s="170"/>
      <c r="I2" s="171"/>
      <c r="P2" s="20">
        <v>33</v>
      </c>
      <c r="R2" s="169" t="s">
        <v>304</v>
      </c>
      <c r="S2" s="170"/>
      <c r="T2" s="170"/>
      <c r="U2" s="170"/>
      <c r="V2" s="170"/>
      <c r="W2" s="170"/>
      <c r="X2" s="171"/>
    </row>
    <row r="3" spans="2:28">
      <c r="B3" s="20">
        <v>184</v>
      </c>
      <c r="D3" s="172" t="s">
        <v>301</v>
      </c>
      <c r="E3" s="173"/>
      <c r="F3" s="173"/>
      <c r="G3" s="173"/>
      <c r="H3" s="173"/>
      <c r="I3" s="174"/>
      <c r="P3" s="20">
        <v>184</v>
      </c>
      <c r="R3" s="172" t="s">
        <v>301</v>
      </c>
      <c r="S3" s="173"/>
      <c r="T3" s="173"/>
      <c r="U3" s="173"/>
      <c r="V3" s="173"/>
      <c r="W3" s="173"/>
      <c r="X3" s="174"/>
      <c r="Y3" s="189" t="s">
        <v>302</v>
      </c>
      <c r="Z3" s="190"/>
      <c r="AA3" s="190"/>
      <c r="AB3" s="191"/>
    </row>
    <row r="4" spans="2:28" ht="14.65" thickBot="1">
      <c r="B4" s="20">
        <v>181</v>
      </c>
      <c r="P4" s="20">
        <v>181</v>
      </c>
    </row>
    <row r="5" spans="2:28">
      <c r="B5" s="20">
        <v>206</v>
      </c>
      <c r="D5" s="28" t="s">
        <v>339</v>
      </c>
      <c r="P5" s="20">
        <v>206</v>
      </c>
      <c r="R5" s="28" t="s">
        <v>297</v>
      </c>
      <c r="T5" s="188" t="s">
        <v>298</v>
      </c>
      <c r="U5" s="188" t="s">
        <v>300</v>
      </c>
    </row>
    <row r="6" spans="2:28">
      <c r="B6" s="20">
        <v>147</v>
      </c>
      <c r="D6" s="20">
        <v>0</v>
      </c>
      <c r="P6" s="20">
        <v>147</v>
      </c>
      <c r="R6" s="20">
        <v>0</v>
      </c>
      <c r="T6" s="185">
        <v>0</v>
      </c>
      <c r="U6" s="186">
        <v>0</v>
      </c>
    </row>
    <row r="7" spans="2:28">
      <c r="B7" s="20">
        <v>162</v>
      </c>
      <c r="D7" s="20">
        <v>50</v>
      </c>
      <c r="P7" s="20">
        <v>162</v>
      </c>
      <c r="R7" s="20">
        <v>50</v>
      </c>
      <c r="T7" s="185">
        <v>50</v>
      </c>
      <c r="U7" s="186">
        <v>1</v>
      </c>
    </row>
    <row r="8" spans="2:28">
      <c r="B8" s="20">
        <v>56</v>
      </c>
      <c r="D8" s="20">
        <v>100</v>
      </c>
      <c r="P8" s="20">
        <v>56</v>
      </c>
      <c r="R8" s="20">
        <v>100</v>
      </c>
      <c r="T8" s="185">
        <v>100</v>
      </c>
      <c r="U8" s="186">
        <v>3</v>
      </c>
    </row>
    <row r="9" spans="2:28">
      <c r="B9" s="20">
        <v>157</v>
      </c>
      <c r="D9" s="20">
        <v>150</v>
      </c>
      <c r="P9" s="20">
        <v>157</v>
      </c>
      <c r="R9" s="20">
        <v>150</v>
      </c>
      <c r="T9" s="185">
        <v>150</v>
      </c>
      <c r="U9" s="186">
        <v>2</v>
      </c>
    </row>
    <row r="10" spans="2:28">
      <c r="B10" s="20">
        <v>156</v>
      </c>
      <c r="D10" s="20">
        <v>200</v>
      </c>
      <c r="P10" s="20">
        <v>156</v>
      </c>
      <c r="R10" s="20">
        <v>200</v>
      </c>
      <c r="T10" s="185">
        <v>200</v>
      </c>
      <c r="U10" s="186">
        <v>6</v>
      </c>
    </row>
    <row r="11" spans="2:28">
      <c r="B11" s="20">
        <v>214</v>
      </c>
      <c r="D11" s="20">
        <v>250</v>
      </c>
      <c r="P11" s="20">
        <v>214</v>
      </c>
      <c r="R11" s="20">
        <v>250</v>
      </c>
      <c r="T11" s="185">
        <v>250</v>
      </c>
      <c r="U11" s="186">
        <v>4</v>
      </c>
    </row>
    <row r="12" spans="2:28">
      <c r="B12" s="20">
        <v>97</v>
      </c>
      <c r="D12" s="20">
        <v>300</v>
      </c>
      <c r="P12" s="20">
        <v>97</v>
      </c>
      <c r="R12" s="20">
        <v>300</v>
      </c>
      <c r="T12" s="185">
        <v>300</v>
      </c>
      <c r="U12" s="186">
        <v>2</v>
      </c>
    </row>
    <row r="13" spans="2:28" ht="14.65" thickBot="1">
      <c r="B13" s="20">
        <v>237</v>
      </c>
      <c r="P13" s="20">
        <v>237</v>
      </c>
      <c r="T13" s="187" t="s">
        <v>299</v>
      </c>
      <c r="U13" s="187">
        <v>0</v>
      </c>
    </row>
    <row r="14" spans="2:28" ht="14.65" thickBot="1">
      <c r="B14" s="20">
        <v>88</v>
      </c>
      <c r="D14" s="28" t="s">
        <v>340</v>
      </c>
      <c r="P14" s="20">
        <v>88</v>
      </c>
      <c r="R14" s="28" t="s">
        <v>297</v>
      </c>
    </row>
    <row r="15" spans="2:28">
      <c r="B15" s="20">
        <v>294</v>
      </c>
      <c r="D15" s="20">
        <v>0</v>
      </c>
      <c r="P15" s="20">
        <v>294</v>
      </c>
      <c r="R15" s="20">
        <v>0</v>
      </c>
      <c r="T15" s="188" t="s">
        <v>298</v>
      </c>
      <c r="U15" s="188" t="s">
        <v>300</v>
      </c>
    </row>
    <row r="16" spans="2:28">
      <c r="B16" s="20">
        <v>276</v>
      </c>
      <c r="D16" s="20">
        <v>75</v>
      </c>
      <c r="P16" s="20">
        <v>276</v>
      </c>
      <c r="R16" s="20">
        <v>75</v>
      </c>
      <c r="T16" s="185">
        <v>0</v>
      </c>
      <c r="U16" s="186">
        <v>0</v>
      </c>
    </row>
    <row r="17" spans="2:21">
      <c r="B17" s="20">
        <v>110</v>
      </c>
      <c r="D17" s="20">
        <v>150</v>
      </c>
      <c r="P17" s="20">
        <v>110</v>
      </c>
      <c r="R17" s="20">
        <v>150</v>
      </c>
      <c r="T17" s="185">
        <v>75</v>
      </c>
      <c r="U17" s="186">
        <v>2</v>
      </c>
    </row>
    <row r="18" spans="2:21">
      <c r="B18" s="20">
        <v>180</v>
      </c>
      <c r="D18" s="20">
        <v>225</v>
      </c>
      <c r="P18" s="20">
        <v>180</v>
      </c>
      <c r="R18" s="20">
        <v>225</v>
      </c>
      <c r="T18" s="185">
        <v>150</v>
      </c>
      <c r="U18" s="186">
        <v>4</v>
      </c>
    </row>
    <row r="19" spans="2:21">
      <c r="B19" s="20">
        <v>212</v>
      </c>
      <c r="D19" s="20">
        <v>300</v>
      </c>
      <c r="P19" s="20">
        <v>212</v>
      </c>
      <c r="R19" s="20">
        <v>300</v>
      </c>
      <c r="T19" s="185">
        <v>225</v>
      </c>
      <c r="U19" s="186">
        <v>9</v>
      </c>
    </row>
    <row r="20" spans="2:21">
      <c r="T20" s="185">
        <v>300</v>
      </c>
      <c r="U20" s="186">
        <v>3</v>
      </c>
    </row>
    <row r="21" spans="2:21" ht="14.65" thickBot="1">
      <c r="T21" s="187" t="s">
        <v>299</v>
      </c>
      <c r="U21" s="187">
        <v>0</v>
      </c>
    </row>
  </sheetData>
  <sortState xmlns:xlrd2="http://schemas.microsoft.com/office/spreadsheetml/2017/richdata2" ref="T16:T20">
    <sortCondition ref="T16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2794-7BEC-4397-93AD-2DF2C7CDB4B8}">
  <dimension ref="A1:W17"/>
  <sheetViews>
    <sheetView showGridLines="0" zoomScale="90" zoomScaleNormal="90" workbookViewId="0">
      <selection activeCell="L4" sqref="L4"/>
    </sheetView>
  </sheetViews>
  <sheetFormatPr defaultRowHeight="14.25"/>
  <cols>
    <col min="1" max="1" width="6.33203125" customWidth="1"/>
    <col min="2" max="2" width="11.265625" style="19" customWidth="1"/>
    <col min="3" max="3" width="2.9296875" customWidth="1"/>
    <col min="4" max="4" width="12.06640625" customWidth="1"/>
    <col min="5" max="5" width="2.9296875" customWidth="1"/>
    <col min="6" max="6" width="11.59765625" customWidth="1"/>
    <col min="7" max="7" width="3.33203125" customWidth="1"/>
    <col min="8" max="8" width="16" customWidth="1"/>
    <col min="9" max="9" width="3.53125" customWidth="1"/>
    <col min="10" max="10" width="10.73046875" customWidth="1"/>
    <col min="14" max="14" width="10" customWidth="1"/>
    <col min="16" max="16" width="3.19921875" customWidth="1"/>
    <col min="17" max="17" width="11.265625" style="19" customWidth="1"/>
    <col min="18" max="18" width="2.9296875" customWidth="1"/>
    <col min="19" max="19" width="11.59765625" customWidth="1"/>
    <col min="20" max="20" width="3.33203125" customWidth="1"/>
    <col min="21" max="21" width="15.265625" customWidth="1"/>
    <col min="22" max="22" width="4.06640625" customWidth="1"/>
    <col min="23" max="23" width="13.19921875" customWidth="1"/>
  </cols>
  <sheetData>
    <row r="1" spans="1:23" ht="75.5" customHeight="1" thickBot="1">
      <c r="B1" s="194" t="s">
        <v>306</v>
      </c>
      <c r="D1" s="277" t="s">
        <v>412</v>
      </c>
      <c r="F1" s="195" t="s">
        <v>305</v>
      </c>
      <c r="H1" s="196" t="s">
        <v>311</v>
      </c>
      <c r="J1" s="195" t="s">
        <v>342</v>
      </c>
      <c r="O1" s="193" t="s">
        <v>201</v>
      </c>
      <c r="Q1" s="194" t="s">
        <v>306</v>
      </c>
      <c r="S1" s="195" t="s">
        <v>305</v>
      </c>
      <c r="U1" s="196" t="s">
        <v>311</v>
      </c>
      <c r="W1" s="195" t="s">
        <v>307</v>
      </c>
    </row>
    <row r="2" spans="1:23" ht="14.65" thickBot="1">
      <c r="B2" s="1"/>
      <c r="F2" s="220"/>
      <c r="H2" s="220"/>
      <c r="J2" s="220"/>
      <c r="Q2" s="1"/>
      <c r="S2" s="155">
        <v>967</v>
      </c>
      <c r="U2" s="197" t="s">
        <v>312</v>
      </c>
      <c r="W2" s="198" t="s">
        <v>310</v>
      </c>
    </row>
    <row r="3" spans="1:23">
      <c r="B3" s="1"/>
      <c r="Q3" s="1"/>
      <c r="W3" s="199" t="s">
        <v>309</v>
      </c>
    </row>
    <row r="4" spans="1:23" ht="14.65" thickBot="1">
      <c r="B4" s="21" t="s">
        <v>96</v>
      </c>
      <c r="F4" s="21" t="s">
        <v>96</v>
      </c>
      <c r="H4" s="21" t="s">
        <v>96</v>
      </c>
      <c r="Q4" s="21" t="s">
        <v>96</v>
      </c>
      <c r="S4" s="21" t="s">
        <v>96</v>
      </c>
      <c r="U4" s="21" t="s">
        <v>96</v>
      </c>
      <c r="W4" s="200" t="s">
        <v>308</v>
      </c>
    </row>
    <row r="5" spans="1:23">
      <c r="B5" s="20">
        <v>296</v>
      </c>
      <c r="F5" s="20">
        <v>290</v>
      </c>
      <c r="H5" s="20">
        <v>290</v>
      </c>
      <c r="Q5" s="20">
        <v>296</v>
      </c>
      <c r="S5" s="20">
        <v>290</v>
      </c>
      <c r="U5" s="20">
        <v>290</v>
      </c>
    </row>
    <row r="6" spans="1:23">
      <c r="B6" s="20">
        <v>356</v>
      </c>
      <c r="F6" s="20">
        <v>296</v>
      </c>
      <c r="H6" s="20">
        <v>296</v>
      </c>
      <c r="Q6" s="20">
        <v>356</v>
      </c>
      <c r="S6" s="20">
        <v>296</v>
      </c>
      <c r="U6" s="20">
        <v>296</v>
      </c>
    </row>
    <row r="7" spans="1:23">
      <c r="B7" s="20">
        <v>322</v>
      </c>
      <c r="F7" s="20">
        <v>305</v>
      </c>
      <c r="H7" s="20">
        <v>305</v>
      </c>
      <c r="Q7" s="20">
        <v>322</v>
      </c>
      <c r="S7" s="20">
        <v>305</v>
      </c>
      <c r="U7" s="20">
        <v>305</v>
      </c>
    </row>
    <row r="8" spans="1:23">
      <c r="B8" s="20">
        <v>365</v>
      </c>
      <c r="F8" s="20">
        <v>315</v>
      </c>
      <c r="H8" s="20">
        <v>315</v>
      </c>
      <c r="Q8" s="20">
        <v>365</v>
      </c>
      <c r="S8" s="20">
        <v>315</v>
      </c>
      <c r="U8" s="20">
        <v>315</v>
      </c>
    </row>
    <row r="9" spans="1:23">
      <c r="B9" s="20">
        <v>315</v>
      </c>
      <c r="F9" s="20">
        <v>315</v>
      </c>
      <c r="H9" s="20">
        <v>315</v>
      </c>
      <c r="Q9" s="20">
        <v>315</v>
      </c>
      <c r="S9" s="20">
        <v>315</v>
      </c>
      <c r="U9" s="20">
        <v>315</v>
      </c>
    </row>
    <row r="10" spans="1:23">
      <c r="B10" s="20">
        <v>333</v>
      </c>
      <c r="F10" s="20">
        <v>322</v>
      </c>
      <c r="H10" s="20">
        <v>322</v>
      </c>
      <c r="Q10" s="20">
        <v>333</v>
      </c>
      <c r="S10" s="20">
        <v>322</v>
      </c>
      <c r="U10" s="20">
        <v>322</v>
      </c>
    </row>
    <row r="11" spans="1:23">
      <c r="B11" s="20">
        <v>967</v>
      </c>
      <c r="F11" s="20">
        <v>333</v>
      </c>
      <c r="H11" s="20">
        <v>333</v>
      </c>
      <c r="Q11" s="20">
        <v>967</v>
      </c>
      <c r="S11" s="20">
        <v>333</v>
      </c>
      <c r="U11" s="20">
        <v>333</v>
      </c>
    </row>
    <row r="12" spans="1:23">
      <c r="B12" s="20">
        <v>315</v>
      </c>
      <c r="F12" s="20">
        <v>356</v>
      </c>
      <c r="H12" s="20">
        <v>356</v>
      </c>
      <c r="Q12" s="20">
        <v>315</v>
      </c>
      <c r="S12" s="20">
        <v>356</v>
      </c>
      <c r="U12" s="20">
        <v>356</v>
      </c>
    </row>
    <row r="13" spans="1:23">
      <c r="B13" s="20">
        <v>290</v>
      </c>
      <c r="F13" s="20">
        <v>365</v>
      </c>
      <c r="H13" s="20">
        <v>365</v>
      </c>
      <c r="Q13" s="20">
        <v>290</v>
      </c>
      <c r="S13" s="20">
        <v>365</v>
      </c>
      <c r="U13" s="20">
        <v>365</v>
      </c>
    </row>
    <row r="14" spans="1:23">
      <c r="B14" s="20">
        <v>305</v>
      </c>
      <c r="F14" s="153">
        <v>967</v>
      </c>
      <c r="H14" s="20"/>
      <c r="Q14" s="20">
        <v>305</v>
      </c>
      <c r="S14" s="137">
        <v>967</v>
      </c>
      <c r="U14" s="20"/>
    </row>
    <row r="15" spans="1:23" ht="14.65" thickBot="1">
      <c r="B15" s="26"/>
      <c r="C15" s="18"/>
      <c r="D15" s="18"/>
      <c r="E15" s="18"/>
      <c r="F15" s="26"/>
      <c r="G15" s="27"/>
      <c r="H15" s="26"/>
      <c r="I15" s="27"/>
      <c r="Q15" s="26"/>
      <c r="R15" s="18"/>
      <c r="S15" s="26"/>
      <c r="T15" s="27"/>
      <c r="U15" s="26"/>
      <c r="V15" s="27"/>
      <c r="W15" s="201" t="s">
        <v>313</v>
      </c>
    </row>
    <row r="16" spans="1:23" ht="14.65" thickBot="1">
      <c r="A16" s="216" t="s">
        <v>40</v>
      </c>
      <c r="B16" s="225"/>
      <c r="F16" s="27"/>
      <c r="G16" s="27"/>
      <c r="H16" s="225"/>
      <c r="I16" s="27"/>
      <c r="Q16" s="164">
        <f>AVERAGE(Q5:Q14)</f>
        <v>386.4</v>
      </c>
      <c r="R16" s="8"/>
      <c r="S16" s="202"/>
      <c r="T16" s="202"/>
      <c r="U16" s="164">
        <f>AVERAGE(U5:U14)</f>
        <v>321.88888888888891</v>
      </c>
      <c r="V16" s="27"/>
      <c r="W16" s="138">
        <f>U16-Q16</f>
        <v>-64.511111111111063</v>
      </c>
    </row>
    <row r="17" spans="1:23" ht="14.65" thickBot="1">
      <c r="A17" s="216" t="s">
        <v>87</v>
      </c>
      <c r="B17" s="225"/>
      <c r="F17" s="26"/>
      <c r="G17" s="27"/>
      <c r="H17" s="225"/>
      <c r="I17" s="27"/>
      <c r="Q17" s="164">
        <f>STDEV(Q5:Q14)</f>
        <v>205.41675794453684</v>
      </c>
      <c r="R17" s="8"/>
      <c r="S17" s="163"/>
      <c r="T17" s="202"/>
      <c r="U17" s="164">
        <f>STDEV(U5:U14)</f>
        <v>25.526674501609314</v>
      </c>
      <c r="V17" s="27"/>
      <c r="W17" s="138">
        <f>U17-Q17</f>
        <v>-179.89008344292753</v>
      </c>
    </row>
  </sheetData>
  <sortState xmlns:xlrd2="http://schemas.microsoft.com/office/spreadsheetml/2017/richdata2" ref="F5:F14">
    <sortCondition ref="F5:F14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B13C-4D05-4A72-9F8B-6F77463BFD95}">
  <dimension ref="A1:I92"/>
  <sheetViews>
    <sheetView showGridLines="0" workbookViewId="0">
      <selection activeCell="G7" sqref="G7"/>
    </sheetView>
  </sheetViews>
  <sheetFormatPr defaultRowHeight="14.25"/>
  <cols>
    <col min="1" max="1" width="4.46484375" style="19" customWidth="1"/>
    <col min="2" max="2" width="9.06640625" customWidth="1"/>
    <col min="3" max="3" width="6.73046875" customWidth="1"/>
    <col min="4" max="4" width="34.19921875" customWidth="1"/>
    <col min="5" max="5" width="12.46484375" bestFit="1" customWidth="1"/>
    <col min="6" max="6" width="9.59765625" customWidth="1"/>
    <col min="8" max="8" width="30.59765625" customWidth="1"/>
  </cols>
  <sheetData>
    <row r="1" spans="1:9">
      <c r="A1" s="99" t="s">
        <v>315</v>
      </c>
      <c r="B1" s="99" t="s">
        <v>316</v>
      </c>
      <c r="D1" t="s">
        <v>314</v>
      </c>
    </row>
    <row r="2" spans="1:9">
      <c r="A2" s="101">
        <v>1</v>
      </c>
      <c r="B2" s="102">
        <v>119203</v>
      </c>
      <c r="I2" s="141" t="s">
        <v>274</v>
      </c>
    </row>
    <row r="3" spans="1:9" ht="14.65" thickBot="1">
      <c r="A3" s="101">
        <f>1+A2</f>
        <v>2</v>
      </c>
      <c r="B3" s="102">
        <v>99999</v>
      </c>
      <c r="D3" t="s">
        <v>318</v>
      </c>
      <c r="I3" s="141" t="s">
        <v>325</v>
      </c>
    </row>
    <row r="4" spans="1:9" ht="14.65" thickBot="1">
      <c r="A4" s="101">
        <f t="shared" ref="A4:A67" si="0">1+A3</f>
        <v>3</v>
      </c>
      <c r="B4" s="102">
        <v>227890</v>
      </c>
      <c r="D4" t="s">
        <v>317</v>
      </c>
      <c r="E4" s="220"/>
    </row>
    <row r="5" spans="1:9">
      <c r="A5" s="101">
        <f t="shared" si="0"/>
        <v>4</v>
      </c>
      <c r="B5" s="102">
        <v>130301</v>
      </c>
    </row>
    <row r="6" spans="1:9">
      <c r="A6" s="101">
        <f t="shared" si="0"/>
        <v>5</v>
      </c>
      <c r="B6" s="102">
        <v>179758</v>
      </c>
      <c r="D6" s="8" t="s">
        <v>323</v>
      </c>
    </row>
    <row r="7" spans="1:9">
      <c r="A7" s="101">
        <f t="shared" si="0"/>
        <v>6</v>
      </c>
      <c r="B7" s="102">
        <v>160121</v>
      </c>
      <c r="D7" s="8" t="s">
        <v>427</v>
      </c>
    </row>
    <row r="8" spans="1:9">
      <c r="A8" s="101">
        <f t="shared" si="0"/>
        <v>7</v>
      </c>
      <c r="B8" s="102">
        <v>200000</v>
      </c>
      <c r="D8" s="8"/>
    </row>
    <row r="9" spans="1:9">
      <c r="A9" s="101">
        <f t="shared" si="0"/>
        <v>8</v>
      </c>
      <c r="B9" s="102">
        <v>147856</v>
      </c>
      <c r="D9" s="8" t="s">
        <v>319</v>
      </c>
    </row>
    <row r="10" spans="1:9">
      <c r="A10" s="101">
        <f t="shared" si="0"/>
        <v>9</v>
      </c>
      <c r="B10" s="102">
        <v>78451</v>
      </c>
      <c r="D10" s="8" t="s">
        <v>320</v>
      </c>
    </row>
    <row r="11" spans="1:9">
      <c r="A11" s="101">
        <f t="shared" si="0"/>
        <v>10</v>
      </c>
      <c r="B11" s="102">
        <v>95321</v>
      </c>
      <c r="D11" s="8" t="s">
        <v>321</v>
      </c>
    </row>
    <row r="12" spans="1:9">
      <c r="A12" s="101">
        <f t="shared" si="0"/>
        <v>11</v>
      </c>
      <c r="B12" s="102">
        <v>159000</v>
      </c>
      <c r="D12" s="8" t="s">
        <v>322</v>
      </c>
    </row>
    <row r="13" spans="1:9">
      <c r="A13" s="101">
        <f t="shared" si="0"/>
        <v>12</v>
      </c>
      <c r="B13" s="102">
        <v>146000</v>
      </c>
      <c r="D13" s="8" t="s">
        <v>324</v>
      </c>
    </row>
    <row r="14" spans="1:9">
      <c r="A14" s="101">
        <f t="shared" si="0"/>
        <v>13</v>
      </c>
      <c r="B14" s="102">
        <v>165225</v>
      </c>
    </row>
    <row r="15" spans="1:9">
      <c r="A15" s="101">
        <f t="shared" si="0"/>
        <v>14</v>
      </c>
      <c r="B15" s="102">
        <v>200000</v>
      </c>
    </row>
    <row r="16" spans="1:9">
      <c r="A16" s="101">
        <f t="shared" si="0"/>
        <v>15</v>
      </c>
      <c r="B16" s="102">
        <v>165125</v>
      </c>
    </row>
    <row r="17" spans="1:2">
      <c r="A17" s="101">
        <f t="shared" si="0"/>
        <v>16</v>
      </c>
      <c r="B17" s="102">
        <v>136000</v>
      </c>
    </row>
    <row r="18" spans="1:2">
      <c r="A18" s="101">
        <f t="shared" si="0"/>
        <v>17</v>
      </c>
      <c r="B18" s="102">
        <v>89208</v>
      </c>
    </row>
    <row r="19" spans="1:2">
      <c r="A19" s="101">
        <f t="shared" si="0"/>
        <v>18</v>
      </c>
      <c r="B19" s="102">
        <v>178000</v>
      </c>
    </row>
    <row r="20" spans="1:2">
      <c r="A20" s="101">
        <f t="shared" si="0"/>
        <v>19</v>
      </c>
      <c r="B20" s="102">
        <v>135798</v>
      </c>
    </row>
    <row r="21" spans="1:2">
      <c r="A21" s="101">
        <f t="shared" si="0"/>
        <v>20</v>
      </c>
      <c r="B21" s="102">
        <v>189563</v>
      </c>
    </row>
    <row r="22" spans="1:2">
      <c r="A22" s="101">
        <f t="shared" si="0"/>
        <v>21</v>
      </c>
      <c r="B22" s="102">
        <v>144526</v>
      </c>
    </row>
    <row r="23" spans="1:2">
      <c r="A23" s="101">
        <f t="shared" si="0"/>
        <v>22</v>
      </c>
      <c r="B23" s="102">
        <v>110000</v>
      </c>
    </row>
    <row r="24" spans="1:2">
      <c r="A24" s="101">
        <f t="shared" si="0"/>
        <v>23</v>
      </c>
      <c r="B24" s="102">
        <v>113000</v>
      </c>
    </row>
    <row r="25" spans="1:2">
      <c r="A25" s="101">
        <f t="shared" si="0"/>
        <v>24</v>
      </c>
      <c r="B25" s="102">
        <v>181090</v>
      </c>
    </row>
    <row r="26" spans="1:2">
      <c r="A26" s="101">
        <f t="shared" si="0"/>
        <v>25</v>
      </c>
      <c r="B26" s="102">
        <v>106000</v>
      </c>
    </row>
    <row r="27" spans="1:2">
      <c r="A27" s="101">
        <f t="shared" si="0"/>
        <v>26</v>
      </c>
      <c r="B27" s="102">
        <v>160000</v>
      </c>
    </row>
    <row r="28" spans="1:2">
      <c r="A28" s="101">
        <f t="shared" si="0"/>
        <v>27</v>
      </c>
      <c r="B28" s="102">
        <v>195216</v>
      </c>
    </row>
    <row r="29" spans="1:2">
      <c r="A29" s="101">
        <f t="shared" si="0"/>
        <v>28</v>
      </c>
      <c r="B29" s="102">
        <v>119800</v>
      </c>
    </row>
    <row r="30" spans="1:2">
      <c r="A30" s="101">
        <f t="shared" si="0"/>
        <v>29</v>
      </c>
      <c r="B30" s="102">
        <v>20206</v>
      </c>
    </row>
    <row r="31" spans="1:2">
      <c r="A31" s="101">
        <f t="shared" si="0"/>
        <v>30</v>
      </c>
      <c r="B31" s="102">
        <v>148800</v>
      </c>
    </row>
    <row r="32" spans="1:2">
      <c r="A32" s="101">
        <f t="shared" si="0"/>
        <v>31</v>
      </c>
      <c r="B32" s="102">
        <v>158963</v>
      </c>
    </row>
    <row r="33" spans="1:2">
      <c r="A33" s="101">
        <f t="shared" si="0"/>
        <v>32</v>
      </c>
      <c r="B33" s="102">
        <v>59000</v>
      </c>
    </row>
    <row r="34" spans="1:2">
      <c r="A34" s="101">
        <f t="shared" si="0"/>
        <v>33</v>
      </c>
      <c r="B34" s="102">
        <v>85384</v>
      </c>
    </row>
    <row r="35" spans="1:2">
      <c r="A35" s="101">
        <f t="shared" si="0"/>
        <v>34</v>
      </c>
      <c r="B35" s="102">
        <v>400000</v>
      </c>
    </row>
    <row r="36" spans="1:2">
      <c r="A36" s="101">
        <f t="shared" si="0"/>
        <v>35</v>
      </c>
      <c r="B36" s="102">
        <v>77000</v>
      </c>
    </row>
    <row r="37" spans="1:2">
      <c r="A37" s="101">
        <f t="shared" si="0"/>
        <v>36</v>
      </c>
      <c r="B37" s="102">
        <v>165000</v>
      </c>
    </row>
    <row r="38" spans="1:2">
      <c r="A38" s="101">
        <f t="shared" si="0"/>
        <v>37</v>
      </c>
      <c r="B38" s="102">
        <v>93610</v>
      </c>
    </row>
    <row r="39" spans="1:2">
      <c r="A39" s="101">
        <f t="shared" si="0"/>
        <v>38</v>
      </c>
      <c r="B39" s="102">
        <v>93610</v>
      </c>
    </row>
    <row r="40" spans="1:2">
      <c r="A40" s="101">
        <f t="shared" si="0"/>
        <v>39</v>
      </c>
      <c r="B40" s="102">
        <v>158000</v>
      </c>
    </row>
    <row r="41" spans="1:2">
      <c r="A41" s="101">
        <f t="shared" si="0"/>
        <v>40</v>
      </c>
      <c r="B41" s="102">
        <v>162300</v>
      </c>
    </row>
    <row r="42" spans="1:2">
      <c r="A42" s="101">
        <f t="shared" si="0"/>
        <v>41</v>
      </c>
      <c r="B42" s="102">
        <v>80000</v>
      </c>
    </row>
    <row r="43" spans="1:2">
      <c r="A43" s="101">
        <f t="shared" si="0"/>
        <v>42</v>
      </c>
      <c r="B43" s="102">
        <v>99050</v>
      </c>
    </row>
    <row r="44" spans="1:2">
      <c r="A44" s="101">
        <f t="shared" si="0"/>
        <v>43</v>
      </c>
      <c r="B44" s="102">
        <v>81107</v>
      </c>
    </row>
    <row r="45" spans="1:2">
      <c r="A45" s="101">
        <f t="shared" si="0"/>
        <v>44</v>
      </c>
      <c r="B45" s="102">
        <v>132462</v>
      </c>
    </row>
    <row r="46" spans="1:2">
      <c r="A46" s="101">
        <f t="shared" si="0"/>
        <v>45</v>
      </c>
      <c r="B46" s="102">
        <v>198175</v>
      </c>
    </row>
    <row r="47" spans="1:2">
      <c r="A47" s="101">
        <f t="shared" si="0"/>
        <v>46</v>
      </c>
      <c r="B47" s="102">
        <v>85263</v>
      </c>
    </row>
    <row r="48" spans="1:2">
      <c r="A48" s="101">
        <f t="shared" si="0"/>
        <v>47</v>
      </c>
      <c r="B48" s="102">
        <v>78000</v>
      </c>
    </row>
    <row r="49" spans="1:2">
      <c r="A49" s="101">
        <f t="shared" si="0"/>
        <v>48</v>
      </c>
      <c r="B49" s="102">
        <v>42141</v>
      </c>
    </row>
    <row r="50" spans="1:2">
      <c r="A50" s="101">
        <f t="shared" si="0"/>
        <v>49</v>
      </c>
      <c r="B50" s="102">
        <v>99210</v>
      </c>
    </row>
    <row r="51" spans="1:2">
      <c r="A51" s="101">
        <f t="shared" si="0"/>
        <v>50</v>
      </c>
      <c r="B51" s="102">
        <v>55000</v>
      </c>
    </row>
    <row r="52" spans="1:2">
      <c r="A52" s="101">
        <f t="shared" si="0"/>
        <v>51</v>
      </c>
      <c r="B52" s="102">
        <v>65501</v>
      </c>
    </row>
    <row r="53" spans="1:2">
      <c r="A53" s="101">
        <f t="shared" si="0"/>
        <v>52</v>
      </c>
      <c r="B53" s="102">
        <v>55280</v>
      </c>
    </row>
    <row r="54" spans="1:2">
      <c r="A54" s="101">
        <f t="shared" si="0"/>
        <v>53</v>
      </c>
      <c r="B54" s="102">
        <v>135700</v>
      </c>
    </row>
    <row r="55" spans="1:2">
      <c r="A55" s="101">
        <f t="shared" si="0"/>
        <v>54</v>
      </c>
      <c r="B55" s="102">
        <v>135798</v>
      </c>
    </row>
    <row r="56" spans="1:2">
      <c r="A56" s="101">
        <f t="shared" si="0"/>
        <v>55</v>
      </c>
      <c r="B56" s="102">
        <v>189563</v>
      </c>
    </row>
    <row r="57" spans="1:2">
      <c r="A57" s="101">
        <f t="shared" si="0"/>
        <v>56</v>
      </c>
      <c r="B57" s="102">
        <v>144526</v>
      </c>
    </row>
    <row r="58" spans="1:2">
      <c r="A58" s="101">
        <f t="shared" si="0"/>
        <v>57</v>
      </c>
      <c r="B58" s="102">
        <v>110000</v>
      </c>
    </row>
    <row r="59" spans="1:2">
      <c r="A59" s="101">
        <f t="shared" si="0"/>
        <v>58</v>
      </c>
      <c r="B59" s="102">
        <v>113000</v>
      </c>
    </row>
    <row r="60" spans="1:2">
      <c r="A60" s="101">
        <f t="shared" si="0"/>
        <v>59</v>
      </c>
      <c r="B60" s="102">
        <v>155000</v>
      </c>
    </row>
    <row r="61" spans="1:2">
      <c r="A61" s="101">
        <f t="shared" si="0"/>
        <v>60</v>
      </c>
      <c r="B61" s="102">
        <v>106000</v>
      </c>
    </row>
    <row r="62" spans="1:2">
      <c r="A62" s="101">
        <f t="shared" si="0"/>
        <v>61</v>
      </c>
      <c r="B62" s="102">
        <v>111111</v>
      </c>
    </row>
    <row r="63" spans="1:2">
      <c r="A63" s="101">
        <f t="shared" si="0"/>
        <v>62</v>
      </c>
      <c r="B63" s="102">
        <v>195216</v>
      </c>
    </row>
    <row r="64" spans="1:2">
      <c r="A64" s="101">
        <f t="shared" si="0"/>
        <v>63</v>
      </c>
      <c r="B64" s="102">
        <v>93610</v>
      </c>
    </row>
    <row r="65" spans="1:2">
      <c r="A65" s="101">
        <f t="shared" si="0"/>
        <v>64</v>
      </c>
      <c r="B65" s="102">
        <v>93610</v>
      </c>
    </row>
    <row r="66" spans="1:2">
      <c r="A66" s="101">
        <f t="shared" si="0"/>
        <v>65</v>
      </c>
      <c r="B66" s="102">
        <v>158000</v>
      </c>
    </row>
    <row r="67" spans="1:2">
      <c r="A67" s="101">
        <f t="shared" si="0"/>
        <v>66</v>
      </c>
      <c r="B67" s="102">
        <v>162300</v>
      </c>
    </row>
    <row r="68" spans="1:2">
      <c r="A68" s="101">
        <f t="shared" ref="A68:A92" si="1">1+A67</f>
        <v>67</v>
      </c>
      <c r="B68" s="102">
        <v>80000</v>
      </c>
    </row>
    <row r="69" spans="1:2">
      <c r="A69" s="101">
        <f t="shared" si="1"/>
        <v>68</v>
      </c>
      <c r="B69" s="102">
        <v>99050</v>
      </c>
    </row>
    <row r="70" spans="1:2">
      <c r="A70" s="101">
        <f t="shared" si="1"/>
        <v>69</v>
      </c>
      <c r="B70" s="102">
        <v>81107</v>
      </c>
    </row>
    <row r="71" spans="1:2">
      <c r="A71" s="101">
        <f t="shared" si="1"/>
        <v>70</v>
      </c>
      <c r="B71" s="102">
        <v>132462</v>
      </c>
    </row>
    <row r="72" spans="1:2">
      <c r="A72" s="101">
        <f t="shared" si="1"/>
        <v>71</v>
      </c>
      <c r="B72" s="102">
        <v>198175</v>
      </c>
    </row>
    <row r="73" spans="1:2">
      <c r="A73" s="101">
        <f t="shared" si="1"/>
        <v>72</v>
      </c>
      <c r="B73" s="102">
        <v>135798</v>
      </c>
    </row>
    <row r="74" spans="1:2">
      <c r="A74" s="101">
        <f t="shared" si="1"/>
        <v>73</v>
      </c>
      <c r="B74" s="102">
        <v>189563</v>
      </c>
    </row>
    <row r="75" spans="1:2">
      <c r="A75" s="101">
        <f t="shared" si="1"/>
        <v>74</v>
      </c>
      <c r="B75" s="102">
        <v>144526</v>
      </c>
    </row>
    <row r="76" spans="1:2">
      <c r="A76" s="101">
        <f t="shared" si="1"/>
        <v>75</v>
      </c>
      <c r="B76" s="102">
        <v>110000</v>
      </c>
    </row>
    <row r="77" spans="1:2">
      <c r="A77" s="101">
        <f t="shared" si="1"/>
        <v>76</v>
      </c>
      <c r="B77" s="102">
        <v>113000</v>
      </c>
    </row>
    <row r="78" spans="1:2">
      <c r="A78" s="101">
        <f t="shared" si="1"/>
        <v>77</v>
      </c>
      <c r="B78" s="102">
        <v>231000</v>
      </c>
    </row>
    <row r="79" spans="1:2">
      <c r="A79" s="101">
        <f t="shared" si="1"/>
        <v>78</v>
      </c>
      <c r="B79" s="102">
        <v>106000</v>
      </c>
    </row>
    <row r="80" spans="1:2">
      <c r="A80" s="101">
        <f t="shared" si="1"/>
        <v>79</v>
      </c>
      <c r="B80" s="102">
        <v>198000</v>
      </c>
    </row>
    <row r="81" spans="1:2">
      <c r="A81" s="101">
        <f t="shared" si="1"/>
        <v>80</v>
      </c>
      <c r="B81" s="102">
        <v>195216</v>
      </c>
    </row>
    <row r="82" spans="1:2">
      <c r="A82" s="101">
        <f t="shared" si="1"/>
        <v>81</v>
      </c>
      <c r="B82" s="102">
        <v>119800</v>
      </c>
    </row>
    <row r="83" spans="1:2">
      <c r="A83" s="101">
        <f t="shared" si="1"/>
        <v>82</v>
      </c>
      <c r="B83" s="102">
        <v>123456</v>
      </c>
    </row>
    <row r="84" spans="1:2">
      <c r="A84" s="101">
        <f t="shared" si="1"/>
        <v>83</v>
      </c>
      <c r="B84" s="102">
        <v>148800</v>
      </c>
    </row>
    <row r="85" spans="1:2">
      <c r="A85" s="101">
        <f t="shared" si="1"/>
        <v>84</v>
      </c>
      <c r="B85" s="102">
        <v>158963</v>
      </c>
    </row>
    <row r="86" spans="1:2">
      <c r="A86" s="101">
        <f t="shared" si="1"/>
        <v>85</v>
      </c>
      <c r="B86" s="102">
        <v>59000</v>
      </c>
    </row>
    <row r="87" spans="1:2">
      <c r="A87" s="101">
        <f t="shared" si="1"/>
        <v>86</v>
      </c>
      <c r="B87" s="102">
        <v>85384</v>
      </c>
    </row>
    <row r="88" spans="1:2">
      <c r="A88" s="101">
        <f t="shared" si="1"/>
        <v>87</v>
      </c>
      <c r="B88" s="102">
        <v>180000</v>
      </c>
    </row>
    <row r="89" spans="1:2">
      <c r="A89" s="101">
        <f t="shared" si="1"/>
        <v>88</v>
      </c>
      <c r="B89" s="102">
        <v>77000</v>
      </c>
    </row>
    <row r="90" spans="1:2">
      <c r="A90" s="101">
        <f t="shared" si="1"/>
        <v>89</v>
      </c>
      <c r="B90" s="102">
        <v>165000</v>
      </c>
    </row>
    <row r="91" spans="1:2">
      <c r="A91" s="101">
        <f t="shared" si="1"/>
        <v>90</v>
      </c>
      <c r="B91" s="102">
        <v>93610</v>
      </c>
    </row>
    <row r="92" spans="1:2">
      <c r="A92" s="101">
        <f t="shared" si="1"/>
        <v>91</v>
      </c>
      <c r="B92" s="102">
        <v>175000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6A5-6E70-4F19-B90A-99644A735A73}">
  <dimension ref="A1:R21"/>
  <sheetViews>
    <sheetView showGridLines="0" zoomScale="90" zoomScaleNormal="90" workbookViewId="0">
      <selection activeCell="I17" sqref="I17"/>
    </sheetView>
  </sheetViews>
  <sheetFormatPr defaultRowHeight="14.25"/>
  <cols>
    <col min="1" max="1" width="8.796875" style="19" bestFit="1" customWidth="1"/>
    <col min="2" max="2" width="11.796875" style="19" bestFit="1" customWidth="1"/>
    <col min="3" max="3" width="4.46484375" customWidth="1"/>
    <col min="4" max="4" width="6.46484375" customWidth="1"/>
    <col min="5" max="5" width="3.46484375" customWidth="1"/>
    <col min="6" max="7" width="6.73046875" customWidth="1"/>
    <col min="8" max="8" width="4.796875" customWidth="1"/>
    <col min="9" max="9" width="63.59765625" customWidth="1"/>
    <col min="12" max="13" width="4.796875" customWidth="1"/>
    <col min="14" max="14" width="26.06640625" customWidth="1"/>
    <col min="15" max="15" width="7.53125" customWidth="1"/>
    <col min="16" max="16" width="4.796875" customWidth="1"/>
    <col min="17" max="17" width="63.796875" customWidth="1"/>
    <col min="18" max="18" width="8.73046875" style="19"/>
  </cols>
  <sheetData>
    <row r="1" spans="1:18" ht="14.65" thickBot="1">
      <c r="A1" s="21" t="s">
        <v>96</v>
      </c>
      <c r="B1" s="21" t="s">
        <v>98</v>
      </c>
      <c r="D1" s="21" t="s">
        <v>99</v>
      </c>
      <c r="F1" s="21" t="s">
        <v>100</v>
      </c>
    </row>
    <row r="2" spans="1:18" ht="14.65" thickBot="1">
      <c r="A2" s="20">
        <v>1</v>
      </c>
      <c r="B2" s="22">
        <v>0.17</v>
      </c>
      <c r="D2" s="20">
        <v>0.55000000000000004</v>
      </c>
      <c r="F2" s="22">
        <v>11.47</v>
      </c>
      <c r="I2" s="24" t="s">
        <v>104</v>
      </c>
      <c r="J2" s="220"/>
      <c r="O2" s="141" t="s">
        <v>274</v>
      </c>
      <c r="Q2" s="24" t="s">
        <v>104</v>
      </c>
      <c r="R2" s="151">
        <f>CORREL(A2:A21,B2:B21)</f>
        <v>0.99451614849349079</v>
      </c>
    </row>
    <row r="3" spans="1:18" ht="14.65" thickBot="1">
      <c r="A3" s="20">
        <v>2</v>
      </c>
      <c r="B3" s="22">
        <v>1.1599999999999999</v>
      </c>
      <c r="D3" s="20">
        <v>0.22</v>
      </c>
      <c r="F3" s="22">
        <v>10.7</v>
      </c>
      <c r="I3" s="25" t="s">
        <v>105</v>
      </c>
      <c r="J3" s="220"/>
      <c r="O3" s="141" t="s">
        <v>326</v>
      </c>
      <c r="Q3" s="25" t="s">
        <v>105</v>
      </c>
      <c r="R3" s="203">
        <f>R2^2</f>
        <v>0.98906236961432703</v>
      </c>
    </row>
    <row r="4" spans="1:18">
      <c r="A4" s="20">
        <v>3</v>
      </c>
      <c r="B4" s="22">
        <v>1.71</v>
      </c>
      <c r="D4" s="20">
        <v>0.76</v>
      </c>
      <c r="F4" s="22">
        <v>9.91</v>
      </c>
      <c r="O4" s="141" t="s">
        <v>327</v>
      </c>
    </row>
    <row r="5" spans="1:18" ht="14.65" thickBot="1">
      <c r="A5" s="20">
        <v>4</v>
      </c>
      <c r="B5" s="22">
        <v>1.74</v>
      </c>
      <c r="D5" s="20">
        <v>0.33</v>
      </c>
      <c r="F5" s="22">
        <v>9.84</v>
      </c>
    </row>
    <row r="6" spans="1:18" ht="14.65" thickBot="1">
      <c r="A6" s="20">
        <v>5</v>
      </c>
      <c r="B6" s="22">
        <v>2.5</v>
      </c>
      <c r="D6" s="20">
        <v>0.63</v>
      </c>
      <c r="F6" s="22">
        <v>9.02</v>
      </c>
      <c r="I6" s="24" t="s">
        <v>106</v>
      </c>
      <c r="J6" s="220"/>
      <c r="Q6" s="24" t="s">
        <v>106</v>
      </c>
      <c r="R6" s="151">
        <f>CORREL(A2:A21,D2:D21)</f>
        <v>-1.2111879523110753E-2</v>
      </c>
    </row>
    <row r="7" spans="1:18" ht="14.65" thickBot="1">
      <c r="A7" s="20">
        <v>6</v>
      </c>
      <c r="B7" s="22">
        <v>2.85</v>
      </c>
      <c r="D7" s="20">
        <v>0.28000000000000003</v>
      </c>
      <c r="F7" s="22">
        <v>8.32</v>
      </c>
      <c r="I7" s="25" t="s">
        <v>107</v>
      </c>
      <c r="J7" s="220"/>
      <c r="Q7" s="25" t="s">
        <v>107</v>
      </c>
      <c r="R7" s="203">
        <f>R6^2</f>
        <v>1.4669762558234956E-4</v>
      </c>
    </row>
    <row r="8" spans="1:18">
      <c r="A8" s="20">
        <v>7</v>
      </c>
      <c r="B8" s="22">
        <v>3.33</v>
      </c>
      <c r="D8" s="20">
        <v>0.68</v>
      </c>
      <c r="F8" s="22">
        <v>7.53</v>
      </c>
    </row>
    <row r="9" spans="1:18" ht="14.65" thickBot="1">
      <c r="A9" s="20">
        <v>8</v>
      </c>
      <c r="B9" s="22">
        <v>3.73</v>
      </c>
      <c r="D9" s="20">
        <v>0.21</v>
      </c>
      <c r="F9" s="22">
        <v>6.58</v>
      </c>
    </row>
    <row r="10" spans="1:18" ht="14.65" thickBot="1">
      <c r="A10" s="20">
        <v>9</v>
      </c>
      <c r="B10" s="22">
        <v>3.94</v>
      </c>
      <c r="D10" s="20">
        <v>0.83</v>
      </c>
      <c r="F10" s="22">
        <v>6.3</v>
      </c>
      <c r="I10" s="23" t="s">
        <v>108</v>
      </c>
      <c r="J10" s="220"/>
      <c r="Q10" s="23" t="s">
        <v>108</v>
      </c>
      <c r="R10" s="151">
        <f>CORREL(B2:B21,D2:D21)</f>
        <v>-5.4141342202722244E-2</v>
      </c>
    </row>
    <row r="11" spans="1:18">
      <c r="A11" s="20">
        <v>10</v>
      </c>
      <c r="B11" s="22">
        <v>4.6399999999999997</v>
      </c>
      <c r="D11" s="20">
        <v>0.68</v>
      </c>
      <c r="F11" s="22">
        <v>5.63</v>
      </c>
    </row>
    <row r="12" spans="1:18" ht="14.65" thickBot="1">
      <c r="A12" s="20">
        <v>11</v>
      </c>
      <c r="B12" s="22">
        <v>5.63</v>
      </c>
      <c r="D12" s="20">
        <v>0.64</v>
      </c>
      <c r="F12" s="22">
        <v>4.6399999999999997</v>
      </c>
    </row>
    <row r="13" spans="1:18" ht="14.65" thickBot="1">
      <c r="A13" s="20">
        <v>12</v>
      </c>
      <c r="B13" s="22">
        <v>6.3</v>
      </c>
      <c r="D13" s="22">
        <v>0.44</v>
      </c>
      <c r="F13" s="22">
        <v>3.94</v>
      </c>
      <c r="I13" s="156" t="s">
        <v>343</v>
      </c>
      <c r="Q13" s="23" t="s">
        <v>101</v>
      </c>
    </row>
    <row r="14" spans="1:18" ht="14.65" thickBot="1">
      <c r="A14" s="20">
        <v>13</v>
      </c>
      <c r="B14" s="22">
        <v>6.58</v>
      </c>
      <c r="D14" s="20">
        <v>0.93</v>
      </c>
      <c r="F14" s="22">
        <v>3.73</v>
      </c>
    </row>
    <row r="15" spans="1:18" ht="14.65" thickBot="1">
      <c r="A15" s="20">
        <v>14</v>
      </c>
      <c r="B15" s="22">
        <v>7.53</v>
      </c>
      <c r="D15" s="20">
        <v>0.98</v>
      </c>
      <c r="F15" s="22">
        <v>3.33</v>
      </c>
      <c r="I15" s="24" t="s">
        <v>102</v>
      </c>
      <c r="J15" s="220"/>
      <c r="Q15" s="24" t="s">
        <v>102</v>
      </c>
      <c r="R15" s="151">
        <f>CORREL(A2:A21,F2:F21)</f>
        <v>-0.99451614849349057</v>
      </c>
    </row>
    <row r="16" spans="1:18" ht="14.65" thickBot="1">
      <c r="A16" s="20">
        <v>15</v>
      </c>
      <c r="B16" s="22">
        <v>8.32</v>
      </c>
      <c r="D16" s="20">
        <v>0.61</v>
      </c>
      <c r="F16" s="22">
        <v>2.85</v>
      </c>
      <c r="I16" s="25" t="s">
        <v>103</v>
      </c>
      <c r="J16" s="220"/>
      <c r="Q16" s="25" t="s">
        <v>103</v>
      </c>
      <c r="R16" s="203">
        <f>R15^2</f>
        <v>0.98906236961432659</v>
      </c>
    </row>
    <row r="17" spans="1:6">
      <c r="A17" s="20">
        <v>16</v>
      </c>
      <c r="B17" s="22">
        <v>9.02</v>
      </c>
      <c r="D17" s="20">
        <v>0.57999999999999996</v>
      </c>
      <c r="F17" s="22">
        <v>2.5</v>
      </c>
    </row>
    <row r="18" spans="1:6">
      <c r="A18" s="20">
        <v>17</v>
      </c>
      <c r="B18" s="22">
        <v>9.84</v>
      </c>
      <c r="D18" s="20">
        <v>0.23</v>
      </c>
      <c r="F18" s="22">
        <v>1.74</v>
      </c>
    </row>
    <row r="19" spans="1:6">
      <c r="A19" s="20">
        <v>18</v>
      </c>
      <c r="B19" s="22">
        <v>9.91</v>
      </c>
      <c r="D19" s="20">
        <v>0.83</v>
      </c>
      <c r="F19" s="22">
        <v>1.71</v>
      </c>
    </row>
    <row r="20" spans="1:6">
      <c r="A20" s="20">
        <v>19</v>
      </c>
      <c r="B20" s="22">
        <v>10.7</v>
      </c>
      <c r="D20" s="20">
        <v>0.02</v>
      </c>
      <c r="F20" s="22">
        <v>1.1599999999999999</v>
      </c>
    </row>
    <row r="21" spans="1:6">
      <c r="A21" s="20">
        <v>20</v>
      </c>
      <c r="B21" s="22">
        <v>11.47</v>
      </c>
      <c r="D21" s="20">
        <v>0.34</v>
      </c>
      <c r="F21" s="22">
        <v>0.17</v>
      </c>
    </row>
  </sheetData>
  <sortState xmlns:xlrd2="http://schemas.microsoft.com/office/spreadsheetml/2017/richdata2" ref="F2:F21">
    <sortCondition descending="1" ref="F2:F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61B1-2D91-4FD5-A27B-1A6D0A952E82}">
  <dimension ref="A1:Q92"/>
  <sheetViews>
    <sheetView showGridLines="0" topLeftCell="A2" workbookViewId="0">
      <selection activeCell="G20" sqref="G20"/>
    </sheetView>
  </sheetViews>
  <sheetFormatPr defaultRowHeight="14.25"/>
  <cols>
    <col min="1" max="1" width="10.46484375" style="19" customWidth="1"/>
    <col min="2" max="2" width="9.46484375" bestFit="1" customWidth="1"/>
    <col min="3" max="3" width="7.06640625" customWidth="1"/>
    <col min="4" max="4" width="11.796875" bestFit="1" customWidth="1"/>
    <col min="5" max="5" width="12.46484375" bestFit="1" customWidth="1"/>
    <col min="7" max="7" width="27.796875" bestFit="1" customWidth="1"/>
    <col min="16" max="16" width="6.19921875" customWidth="1"/>
  </cols>
  <sheetData>
    <row r="1" spans="1:17">
      <c r="A1" s="99" t="s">
        <v>42</v>
      </c>
      <c r="B1" s="100" t="s">
        <v>43</v>
      </c>
      <c r="D1" t="s">
        <v>110</v>
      </c>
    </row>
    <row r="2" spans="1:17">
      <c r="A2" s="101">
        <v>1988</v>
      </c>
      <c r="B2" s="102">
        <v>119203</v>
      </c>
      <c r="Q2" s="141" t="s">
        <v>274</v>
      </c>
    </row>
    <row r="3" spans="1:17">
      <c r="A3" s="101">
        <v>1989</v>
      </c>
      <c r="B3" s="102">
        <v>99999</v>
      </c>
      <c r="D3" t="s">
        <v>44</v>
      </c>
    </row>
    <row r="4" spans="1:17">
      <c r="A4" s="101">
        <v>1995</v>
      </c>
      <c r="B4" s="102">
        <v>247500</v>
      </c>
      <c r="D4" t="s">
        <v>109</v>
      </c>
    </row>
    <row r="5" spans="1:17">
      <c r="A5" s="101">
        <v>1996</v>
      </c>
      <c r="B5" s="102">
        <v>130301</v>
      </c>
    </row>
    <row r="6" spans="1:17" ht="14.65" thickBot="1">
      <c r="A6" s="101">
        <v>1998</v>
      </c>
      <c r="B6" s="102">
        <v>179758</v>
      </c>
      <c r="D6" t="s">
        <v>45</v>
      </c>
    </row>
    <row r="7" spans="1:17" ht="14.65" thickBot="1">
      <c r="A7" s="101">
        <v>1998</v>
      </c>
      <c r="B7" s="102">
        <v>160121</v>
      </c>
      <c r="D7" t="s">
        <v>46</v>
      </c>
      <c r="E7" s="232"/>
      <c r="Q7" s="233">
        <v>-0.73</v>
      </c>
    </row>
    <row r="8" spans="1:17">
      <c r="A8" s="101">
        <v>2000</v>
      </c>
      <c r="B8" s="102">
        <v>200000</v>
      </c>
    </row>
    <row r="9" spans="1:17">
      <c r="A9" s="101">
        <v>2000</v>
      </c>
      <c r="B9" s="102">
        <v>147856</v>
      </c>
      <c r="D9" t="s">
        <v>111</v>
      </c>
    </row>
    <row r="10" spans="1:17">
      <c r="A10" s="101">
        <v>2003</v>
      </c>
      <c r="B10" s="102">
        <v>78451</v>
      </c>
    </row>
    <row r="11" spans="1:17">
      <c r="A11" s="101">
        <v>2003</v>
      </c>
      <c r="B11" s="102">
        <v>95321</v>
      </c>
      <c r="D11" s="8" t="s">
        <v>344</v>
      </c>
    </row>
    <row r="12" spans="1:17">
      <c r="A12" s="101">
        <v>2004</v>
      </c>
      <c r="B12" s="102">
        <v>159000</v>
      </c>
      <c r="D12" s="8" t="s">
        <v>114</v>
      </c>
    </row>
    <row r="13" spans="1:17">
      <c r="A13" s="101">
        <v>2004</v>
      </c>
      <c r="B13" s="102">
        <v>146000</v>
      </c>
      <c r="D13" s="8" t="s">
        <v>115</v>
      </c>
    </row>
    <row r="14" spans="1:17">
      <c r="A14" s="101">
        <v>2004</v>
      </c>
      <c r="B14" s="102">
        <v>165225</v>
      </c>
      <c r="D14" s="8" t="s">
        <v>116</v>
      </c>
    </row>
    <row r="15" spans="1:17">
      <c r="A15" s="101">
        <v>2005</v>
      </c>
      <c r="B15" s="102">
        <v>200000</v>
      </c>
      <c r="D15" s="8" t="s">
        <v>117</v>
      </c>
    </row>
    <row r="16" spans="1:17">
      <c r="A16" s="101">
        <v>2005</v>
      </c>
      <c r="B16" s="102">
        <v>165125</v>
      </c>
      <c r="D16" s="8" t="s">
        <v>186</v>
      </c>
    </row>
    <row r="17" spans="1:2">
      <c r="A17" s="101">
        <v>2005</v>
      </c>
      <c r="B17" s="102">
        <v>136000</v>
      </c>
    </row>
    <row r="18" spans="1:2">
      <c r="A18" s="101">
        <v>2006</v>
      </c>
      <c r="B18" s="102">
        <v>89208</v>
      </c>
    </row>
    <row r="19" spans="1:2">
      <c r="A19" s="101">
        <v>2006</v>
      </c>
      <c r="B19" s="102">
        <v>78900</v>
      </c>
    </row>
    <row r="20" spans="1:2">
      <c r="A20" s="101">
        <v>2006</v>
      </c>
      <c r="B20" s="102">
        <v>135798</v>
      </c>
    </row>
    <row r="21" spans="1:2">
      <c r="A21" s="101">
        <v>2006</v>
      </c>
      <c r="B21" s="102">
        <v>189563</v>
      </c>
    </row>
    <row r="22" spans="1:2">
      <c r="A22" s="101">
        <v>2007</v>
      </c>
      <c r="B22" s="102">
        <v>144526</v>
      </c>
    </row>
    <row r="23" spans="1:2">
      <c r="A23" s="101">
        <v>2008</v>
      </c>
      <c r="B23" s="102">
        <v>110000</v>
      </c>
    </row>
    <row r="24" spans="1:2">
      <c r="A24" s="101">
        <v>2008</v>
      </c>
      <c r="B24" s="102">
        <v>113000</v>
      </c>
    </row>
    <row r="25" spans="1:2">
      <c r="A25" s="101">
        <v>2009</v>
      </c>
      <c r="B25" s="102">
        <v>18061</v>
      </c>
    </row>
    <row r="26" spans="1:2">
      <c r="A26" s="101">
        <v>2009</v>
      </c>
      <c r="B26" s="102">
        <v>106000</v>
      </c>
    </row>
    <row r="27" spans="1:2">
      <c r="A27" s="101">
        <v>2009</v>
      </c>
      <c r="B27" s="102">
        <v>18000</v>
      </c>
    </row>
    <row r="28" spans="1:2">
      <c r="A28" s="101">
        <v>2010</v>
      </c>
      <c r="B28" s="102">
        <v>195216</v>
      </c>
    </row>
    <row r="29" spans="1:2">
      <c r="A29" s="101">
        <v>2010</v>
      </c>
      <c r="B29" s="102">
        <v>119800</v>
      </c>
    </row>
    <row r="30" spans="1:2">
      <c r="A30" s="101">
        <v>2010</v>
      </c>
      <c r="B30" s="102">
        <v>20206</v>
      </c>
    </row>
    <row r="31" spans="1:2">
      <c r="A31" s="101">
        <v>2010</v>
      </c>
      <c r="B31" s="102">
        <v>148800</v>
      </c>
    </row>
    <row r="32" spans="1:2">
      <c r="A32" s="101">
        <v>2010</v>
      </c>
      <c r="B32" s="102">
        <v>158963</v>
      </c>
    </row>
    <row r="33" spans="1:2">
      <c r="A33" s="101">
        <v>2011</v>
      </c>
      <c r="B33" s="102">
        <v>59000</v>
      </c>
    </row>
    <row r="34" spans="1:2">
      <c r="A34" s="101">
        <v>2011</v>
      </c>
      <c r="B34" s="102">
        <v>85384</v>
      </c>
    </row>
    <row r="35" spans="1:2">
      <c r="A35" s="101">
        <v>2011</v>
      </c>
      <c r="B35" s="102">
        <v>253098</v>
      </c>
    </row>
    <row r="36" spans="1:2">
      <c r="A36" s="101">
        <v>2011</v>
      </c>
      <c r="B36" s="102">
        <v>77000</v>
      </c>
    </row>
    <row r="37" spans="1:2">
      <c r="A37" s="101">
        <v>2012</v>
      </c>
      <c r="B37" s="102">
        <v>165000</v>
      </c>
    </row>
    <row r="38" spans="1:2">
      <c r="A38" s="101">
        <v>2012</v>
      </c>
      <c r="B38" s="102">
        <v>93610</v>
      </c>
    </row>
    <row r="39" spans="1:2">
      <c r="A39" s="101">
        <v>2012</v>
      </c>
      <c r="B39" s="102">
        <v>93610</v>
      </c>
    </row>
    <row r="40" spans="1:2">
      <c r="A40" s="101">
        <v>2013</v>
      </c>
      <c r="B40" s="102">
        <v>158000</v>
      </c>
    </row>
    <row r="41" spans="1:2">
      <c r="A41" s="101">
        <v>2013</v>
      </c>
      <c r="B41" s="102">
        <v>162300</v>
      </c>
    </row>
    <row r="42" spans="1:2">
      <c r="A42" s="101">
        <v>2014</v>
      </c>
      <c r="B42" s="102">
        <v>80000</v>
      </c>
    </row>
    <row r="43" spans="1:2">
      <c r="A43" s="101">
        <v>2014</v>
      </c>
      <c r="B43" s="102">
        <v>99050</v>
      </c>
    </row>
    <row r="44" spans="1:2">
      <c r="A44" s="101">
        <v>2016</v>
      </c>
      <c r="B44" s="102">
        <v>81107</v>
      </c>
    </row>
    <row r="45" spans="1:2">
      <c r="A45" s="101">
        <v>2016</v>
      </c>
      <c r="B45" s="102">
        <v>132462</v>
      </c>
    </row>
    <row r="46" spans="1:2">
      <c r="A46" s="101">
        <v>2016</v>
      </c>
      <c r="B46" s="102">
        <v>198175</v>
      </c>
    </row>
    <row r="47" spans="1:2">
      <c r="A47" s="101">
        <v>2016</v>
      </c>
      <c r="B47" s="102">
        <v>85263</v>
      </c>
    </row>
    <row r="48" spans="1:2">
      <c r="A48" s="101">
        <v>2017</v>
      </c>
      <c r="B48" s="102">
        <v>78000</v>
      </c>
    </row>
    <row r="49" spans="1:2">
      <c r="A49" s="101">
        <v>2017</v>
      </c>
      <c r="B49" s="102">
        <v>42141</v>
      </c>
    </row>
    <row r="50" spans="1:2">
      <c r="A50" s="101">
        <v>2018</v>
      </c>
      <c r="B50" s="102">
        <v>99210</v>
      </c>
    </row>
    <row r="51" spans="1:2">
      <c r="A51" s="101">
        <v>2018</v>
      </c>
      <c r="B51" s="102">
        <v>55000</v>
      </c>
    </row>
    <row r="52" spans="1:2">
      <c r="A52" s="101">
        <v>2018</v>
      </c>
      <c r="B52" s="102">
        <v>65501</v>
      </c>
    </row>
    <row r="53" spans="1:2">
      <c r="A53" s="101">
        <v>2018</v>
      </c>
      <c r="B53" s="102">
        <v>55280</v>
      </c>
    </row>
    <row r="54" spans="1:2">
      <c r="A54" s="101">
        <v>2018</v>
      </c>
      <c r="B54" s="102">
        <v>135700</v>
      </c>
    </row>
    <row r="55" spans="1:2">
      <c r="A55" s="101">
        <v>2018</v>
      </c>
      <c r="B55" s="102">
        <v>54900</v>
      </c>
    </row>
    <row r="56" spans="1:2">
      <c r="A56" s="101">
        <v>2018</v>
      </c>
      <c r="B56" s="102">
        <v>23165</v>
      </c>
    </row>
    <row r="57" spans="1:2">
      <c r="A57" s="101">
        <v>2019</v>
      </c>
      <c r="B57" s="102">
        <v>34358</v>
      </c>
    </row>
    <row r="58" spans="1:2">
      <c r="A58" s="101">
        <v>2019</v>
      </c>
      <c r="B58" s="102">
        <v>32812</v>
      </c>
    </row>
    <row r="59" spans="1:2">
      <c r="A59" s="101">
        <v>2019</v>
      </c>
      <c r="B59" s="102">
        <v>28246</v>
      </c>
    </row>
    <row r="60" spans="1:2">
      <c r="A60" s="101">
        <v>2019</v>
      </c>
      <c r="B60" s="102">
        <v>25000</v>
      </c>
    </row>
    <row r="61" spans="1:2">
      <c r="A61" s="101">
        <v>2020</v>
      </c>
      <c r="B61" s="102">
        <v>20012</v>
      </c>
    </row>
    <row r="62" spans="1:2">
      <c r="A62" s="101">
        <v>2020</v>
      </c>
      <c r="B62" s="102">
        <v>30000</v>
      </c>
    </row>
    <row r="63" spans="1:2">
      <c r="A63" s="101">
        <v>2020</v>
      </c>
      <c r="B63" s="102">
        <v>13975</v>
      </c>
    </row>
    <row r="64" spans="1:2">
      <c r="A64" s="101">
        <v>2020</v>
      </c>
      <c r="B64" s="102">
        <v>5757</v>
      </c>
    </row>
    <row r="65" spans="1:2">
      <c r="A65" s="101">
        <v>2020</v>
      </c>
      <c r="B65" s="102">
        <v>26000</v>
      </c>
    </row>
    <row r="66" spans="1:2">
      <c r="A66" s="101">
        <v>2020</v>
      </c>
      <c r="B66" s="102">
        <v>14517</v>
      </c>
    </row>
    <row r="67" spans="1:2">
      <c r="A67" s="101">
        <v>2021</v>
      </c>
      <c r="B67" s="102">
        <v>30890</v>
      </c>
    </row>
    <row r="68" spans="1:2">
      <c r="A68" s="101">
        <v>2021</v>
      </c>
      <c r="B68" s="102">
        <v>15305</v>
      </c>
    </row>
    <row r="69" spans="1:2">
      <c r="A69" s="101">
        <v>2021</v>
      </c>
      <c r="B69" s="102">
        <v>7500</v>
      </c>
    </row>
    <row r="70" spans="1:2">
      <c r="A70" s="101">
        <v>2021</v>
      </c>
      <c r="B70" s="102">
        <v>28000</v>
      </c>
    </row>
    <row r="71" spans="1:2">
      <c r="A71" s="101">
        <v>2021</v>
      </c>
      <c r="B71" s="102">
        <v>26987</v>
      </c>
    </row>
    <row r="72" spans="1:2">
      <c r="A72" s="101">
        <v>2021</v>
      </c>
      <c r="B72" s="102">
        <v>8000</v>
      </c>
    </row>
    <row r="73" spans="1:2">
      <c r="A73" s="101">
        <v>2021</v>
      </c>
      <c r="B73" s="102">
        <v>17650</v>
      </c>
    </row>
    <row r="74" spans="1:2">
      <c r="A74" s="101">
        <v>2021</v>
      </c>
      <c r="B74" s="102">
        <v>17650</v>
      </c>
    </row>
    <row r="75" spans="1:2">
      <c r="A75" s="101">
        <v>2021</v>
      </c>
      <c r="B75" s="102">
        <v>15168</v>
      </c>
    </row>
    <row r="76" spans="1:2">
      <c r="A76" s="101">
        <v>2021</v>
      </c>
      <c r="B76" s="102">
        <v>12350</v>
      </c>
    </row>
    <row r="77" spans="1:2">
      <c r="A77" s="101">
        <v>2021</v>
      </c>
      <c r="B77" s="102">
        <v>33551</v>
      </c>
    </row>
    <row r="78" spans="1:2">
      <c r="A78" s="101">
        <v>2022</v>
      </c>
      <c r="B78" s="102">
        <v>11456</v>
      </c>
    </row>
    <row r="79" spans="1:2">
      <c r="A79" s="101">
        <v>2022</v>
      </c>
      <c r="B79" s="102">
        <v>1505</v>
      </c>
    </row>
    <row r="80" spans="1:2">
      <c r="A80" s="101">
        <v>2022</v>
      </c>
      <c r="B80" s="102">
        <v>2134</v>
      </c>
    </row>
    <row r="81" spans="1:2">
      <c r="A81" s="101">
        <v>2022</v>
      </c>
      <c r="B81" s="102">
        <v>3546</v>
      </c>
    </row>
    <row r="82" spans="1:2">
      <c r="A82" s="101">
        <v>2022</v>
      </c>
      <c r="B82" s="102">
        <v>3546</v>
      </c>
    </row>
    <row r="83" spans="1:2">
      <c r="A83" s="101">
        <v>2022</v>
      </c>
      <c r="B83" s="102">
        <v>1700</v>
      </c>
    </row>
    <row r="84" spans="1:2">
      <c r="A84" s="101">
        <v>2022</v>
      </c>
      <c r="B84" s="102">
        <v>2567</v>
      </c>
    </row>
    <row r="85" spans="1:2">
      <c r="A85" s="101">
        <v>2022</v>
      </c>
      <c r="B85" s="102">
        <v>1000</v>
      </c>
    </row>
    <row r="86" spans="1:2">
      <c r="A86" s="101">
        <v>2022</v>
      </c>
      <c r="B86" s="102">
        <v>1978</v>
      </c>
    </row>
    <row r="87" spans="1:2">
      <c r="A87" s="101">
        <v>2022</v>
      </c>
      <c r="B87" s="102">
        <v>123</v>
      </c>
    </row>
    <row r="88" spans="1:2">
      <c r="A88" s="101">
        <v>2023</v>
      </c>
      <c r="B88" s="102">
        <v>3000</v>
      </c>
    </row>
    <row r="89" spans="1:2">
      <c r="A89" s="101">
        <v>2023</v>
      </c>
      <c r="B89" s="102">
        <v>478</v>
      </c>
    </row>
    <row r="90" spans="1:2">
      <c r="A90" s="101">
        <v>2023</v>
      </c>
      <c r="B90" s="102">
        <v>1200</v>
      </c>
    </row>
    <row r="91" spans="1:2">
      <c r="A91" s="101">
        <v>2023</v>
      </c>
      <c r="B91" s="102">
        <v>1656</v>
      </c>
    </row>
    <row r="92" spans="1:2">
      <c r="A92" s="101">
        <v>2023</v>
      </c>
      <c r="B92" s="102">
        <v>1299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3A0-DED0-4B95-8390-141C7691ED1F}">
  <dimension ref="B2:O17"/>
  <sheetViews>
    <sheetView showGridLines="0" workbookViewId="0">
      <selection activeCell="H6" sqref="H6"/>
    </sheetView>
  </sheetViews>
  <sheetFormatPr defaultRowHeight="14.25"/>
  <cols>
    <col min="2" max="2" width="13" customWidth="1"/>
    <col min="4" max="4" width="14.33203125" customWidth="1"/>
    <col min="10" max="10" width="70.46484375" customWidth="1"/>
    <col min="11" max="11" width="28.19921875" customWidth="1"/>
    <col min="12" max="12" width="10.53125" style="19" customWidth="1"/>
    <col min="13" max="13" width="10.796875" style="19" customWidth="1"/>
    <col min="14" max="14" width="9.796875" style="19" customWidth="1"/>
    <col min="15" max="15" width="8.73046875" style="19"/>
  </cols>
  <sheetData>
    <row r="2" spans="2:15">
      <c r="B2" s="141" t="s">
        <v>239</v>
      </c>
      <c r="K2" s="141" t="s">
        <v>201</v>
      </c>
    </row>
    <row r="3" spans="2:15">
      <c r="B3" s="141" t="s">
        <v>238</v>
      </c>
    </row>
    <row r="5" spans="2:15">
      <c r="B5" t="s">
        <v>234</v>
      </c>
      <c r="D5" t="s">
        <v>235</v>
      </c>
    </row>
    <row r="6" spans="2:15" ht="14.65" thickBot="1"/>
    <row r="7" spans="2:15" ht="14.65" thickBot="1">
      <c r="B7" s="8" t="s">
        <v>240</v>
      </c>
      <c r="D7" s="220"/>
      <c r="K7" s="8" t="s">
        <v>241</v>
      </c>
      <c r="L7" s="144" t="s">
        <v>242</v>
      </c>
      <c r="M7" s="144" t="s">
        <v>243</v>
      </c>
      <c r="N7" s="144" t="s">
        <v>244</v>
      </c>
      <c r="O7" s="144" t="s">
        <v>245</v>
      </c>
    </row>
    <row r="8" spans="2:15" ht="14.65" thickBot="1"/>
    <row r="9" spans="2:15" ht="14.65" thickBot="1">
      <c r="B9" s="8" t="s">
        <v>246</v>
      </c>
      <c r="D9" s="220"/>
      <c r="K9" s="8" t="s">
        <v>247</v>
      </c>
      <c r="L9" s="144" t="s">
        <v>248</v>
      </c>
      <c r="M9" s="144" t="s">
        <v>249</v>
      </c>
      <c r="N9" s="144" t="s">
        <v>250</v>
      </c>
      <c r="O9" s="144" t="s">
        <v>251</v>
      </c>
    </row>
    <row r="10" spans="2:15" ht="14.65" thickBot="1"/>
    <row r="11" spans="2:15" ht="14.65" thickBot="1">
      <c r="B11" t="s">
        <v>236</v>
      </c>
      <c r="D11" s="220"/>
      <c r="K11" s="8" t="s">
        <v>252</v>
      </c>
      <c r="L11" s="144" t="s">
        <v>253</v>
      </c>
      <c r="M11" s="144" t="s">
        <v>254</v>
      </c>
      <c r="N11" s="144" t="s">
        <v>255</v>
      </c>
      <c r="O11" s="144" t="s">
        <v>256</v>
      </c>
    </row>
    <row r="12" spans="2:15" ht="14.65" thickBot="1"/>
    <row r="13" spans="2:15" ht="14.65" thickBot="1">
      <c r="B13" t="s">
        <v>237</v>
      </c>
      <c r="D13" s="220"/>
      <c r="K13" s="8" t="s">
        <v>257</v>
      </c>
    </row>
    <row r="14" spans="2:15">
      <c r="K14" s="8" t="s">
        <v>258</v>
      </c>
      <c r="O14" s="144" t="s">
        <v>259</v>
      </c>
    </row>
    <row r="15" spans="2:15" ht="14.65" thickBot="1">
      <c r="K15" s="8"/>
      <c r="O15" s="144"/>
    </row>
    <row r="16" spans="2:15" ht="14.65" thickBot="1">
      <c r="B16" s="8" t="s">
        <v>260</v>
      </c>
      <c r="D16" s="220"/>
      <c r="K16" s="8" t="s">
        <v>261</v>
      </c>
    </row>
    <row r="17" spans="11:15">
      <c r="K17" s="8" t="s">
        <v>262</v>
      </c>
      <c r="O17" s="144" t="s">
        <v>263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145E-0D6E-42D9-8F7B-D68E3996DD01}">
  <dimension ref="A1:M21"/>
  <sheetViews>
    <sheetView showGridLines="0" workbookViewId="0">
      <selection activeCell="F13" sqref="F13"/>
    </sheetView>
  </sheetViews>
  <sheetFormatPr defaultRowHeight="14.25"/>
  <cols>
    <col min="1" max="1" width="35.33203125" customWidth="1"/>
    <col min="2" max="2" width="8.796875" style="19" bestFit="1" customWidth="1"/>
    <col min="3" max="3" width="11.796875" style="19" bestFit="1" customWidth="1"/>
    <col min="12" max="12" width="26" customWidth="1"/>
  </cols>
  <sheetData>
    <row r="1" spans="1:13">
      <c r="A1" s="206" t="s">
        <v>328</v>
      </c>
      <c r="B1" s="204" t="s">
        <v>96</v>
      </c>
      <c r="C1" s="21" t="s">
        <v>98</v>
      </c>
      <c r="M1" s="141" t="s">
        <v>274</v>
      </c>
    </row>
    <row r="2" spans="1:13">
      <c r="A2" s="207" t="s">
        <v>112</v>
      </c>
      <c r="B2" s="205">
        <v>1</v>
      </c>
      <c r="C2" s="22">
        <v>1.1599999999999999</v>
      </c>
    </row>
    <row r="3" spans="1:13" ht="14.65" thickBot="1">
      <c r="A3" s="208" t="s">
        <v>113</v>
      </c>
      <c r="B3" s="205">
        <v>2</v>
      </c>
      <c r="C3" s="22">
        <v>1.88</v>
      </c>
    </row>
    <row r="4" spans="1:13" ht="14.65" thickBot="1">
      <c r="A4" s="209" t="s">
        <v>329</v>
      </c>
      <c r="B4" s="20">
        <v>3</v>
      </c>
      <c r="C4" s="22">
        <v>2.71</v>
      </c>
    </row>
    <row r="5" spans="1:13">
      <c r="B5" s="20">
        <v>4</v>
      </c>
      <c r="C5" s="22">
        <v>2.57</v>
      </c>
    </row>
    <row r="6" spans="1:13">
      <c r="B6" s="20">
        <v>5</v>
      </c>
      <c r="C6" s="22">
        <v>3.09</v>
      </c>
    </row>
    <row r="7" spans="1:13">
      <c r="B7" s="20">
        <v>6</v>
      </c>
      <c r="C7" s="22">
        <v>2.85</v>
      </c>
    </row>
    <row r="8" spans="1:13">
      <c r="B8" s="20">
        <v>7</v>
      </c>
      <c r="C8" s="22">
        <v>2.99</v>
      </c>
    </row>
    <row r="9" spans="1:13">
      <c r="B9" s="20">
        <v>8</v>
      </c>
      <c r="C9" s="22">
        <v>1.99</v>
      </c>
    </row>
    <row r="10" spans="1:13">
      <c r="B10" s="20">
        <v>9</v>
      </c>
      <c r="C10" s="22">
        <v>2.4300000000000002</v>
      </c>
    </row>
    <row r="11" spans="1:13">
      <c r="B11" s="20">
        <v>10</v>
      </c>
      <c r="C11" s="22">
        <v>2.11</v>
      </c>
    </row>
    <row r="12" spans="1:13">
      <c r="B12" s="20">
        <v>11</v>
      </c>
      <c r="C12" s="22">
        <v>3.76</v>
      </c>
    </row>
    <row r="13" spans="1:13">
      <c r="B13" s="20">
        <v>12</v>
      </c>
      <c r="C13" s="22">
        <v>3.55</v>
      </c>
    </row>
    <row r="14" spans="1:13">
      <c r="B14" s="20">
        <v>13</v>
      </c>
      <c r="C14" s="22">
        <v>2.99</v>
      </c>
    </row>
    <row r="15" spans="1:13">
      <c r="B15" s="20">
        <v>14</v>
      </c>
      <c r="C15" s="22">
        <v>3.89</v>
      </c>
    </row>
    <row r="16" spans="1:13">
      <c r="B16" s="20">
        <v>15</v>
      </c>
      <c r="C16" s="22">
        <v>4.2300000000000004</v>
      </c>
    </row>
    <row r="17" spans="2:3">
      <c r="B17" s="20">
        <v>16</v>
      </c>
      <c r="C17" s="22">
        <v>4.13</v>
      </c>
    </row>
    <row r="18" spans="2:3">
      <c r="B18" s="20">
        <v>17</v>
      </c>
      <c r="C18" s="22">
        <v>4.5599999999999996</v>
      </c>
    </row>
    <row r="19" spans="2:3">
      <c r="B19" s="20">
        <v>18</v>
      </c>
      <c r="C19" s="22">
        <v>4.22</v>
      </c>
    </row>
    <row r="20" spans="2:3">
      <c r="B20" s="20">
        <v>19</v>
      </c>
      <c r="C20" s="22">
        <v>3.99</v>
      </c>
    </row>
    <row r="21" spans="2:3">
      <c r="B21" s="20">
        <v>20</v>
      </c>
      <c r="C21" s="22">
        <v>4.07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6FE0-DFE6-4CEC-B4D6-8D8CAB9E2397}">
  <dimension ref="A1:Z30"/>
  <sheetViews>
    <sheetView showGridLines="0" zoomScale="70" zoomScaleNormal="70" workbookViewId="0">
      <selection activeCell="Y13" sqref="Y13"/>
    </sheetView>
  </sheetViews>
  <sheetFormatPr defaultRowHeight="14.25"/>
  <cols>
    <col min="1" max="2" width="8.73046875" style="19"/>
  </cols>
  <sheetData>
    <row r="1" spans="1:26" ht="14.65" thickBot="1">
      <c r="A1" s="28" t="s">
        <v>96</v>
      </c>
      <c r="B1" s="28" t="s">
        <v>98</v>
      </c>
    </row>
    <row r="2" spans="1:26">
      <c r="A2" s="20">
        <v>1</v>
      </c>
      <c r="B2" s="20">
        <v>5</v>
      </c>
      <c r="S2" s="28" t="s">
        <v>96</v>
      </c>
      <c r="T2" s="28" t="s">
        <v>98</v>
      </c>
      <c r="W2" s="234" t="s">
        <v>345</v>
      </c>
      <c r="X2" s="235"/>
      <c r="Y2" s="235"/>
      <c r="Z2" s="236"/>
    </row>
    <row r="3" spans="1:26" ht="14.65" thickBot="1">
      <c r="A3" s="20">
        <v>2</v>
      </c>
      <c r="B3" s="97">
        <v>4</v>
      </c>
      <c r="S3" s="20">
        <v>1</v>
      </c>
      <c r="T3" s="20">
        <v>5</v>
      </c>
      <c r="W3" s="237" t="s">
        <v>346</v>
      </c>
      <c r="X3" s="238"/>
      <c r="Y3" s="238"/>
      <c r="Z3" s="239"/>
    </row>
    <row r="4" spans="1:26">
      <c r="A4" s="20">
        <v>3</v>
      </c>
      <c r="B4" s="20">
        <v>8</v>
      </c>
      <c r="S4" s="20">
        <v>2</v>
      </c>
      <c r="T4" s="103">
        <v>4</v>
      </c>
    </row>
    <row r="5" spans="1:26">
      <c r="A5" s="20">
        <v>4</v>
      </c>
      <c r="B5" s="20">
        <v>4</v>
      </c>
      <c r="S5" s="20">
        <v>3</v>
      </c>
      <c r="T5" s="20">
        <v>8</v>
      </c>
    </row>
    <row r="6" spans="1:26">
      <c r="A6" s="20">
        <v>5</v>
      </c>
      <c r="B6" s="20">
        <v>8</v>
      </c>
      <c r="S6" s="20">
        <v>4</v>
      </c>
      <c r="T6" s="20">
        <v>4</v>
      </c>
    </row>
    <row r="7" spans="1:26">
      <c r="A7" s="20">
        <v>6</v>
      </c>
      <c r="B7" s="20">
        <v>6</v>
      </c>
      <c r="S7" s="20">
        <v>5</v>
      </c>
      <c r="T7" s="20">
        <v>8</v>
      </c>
    </row>
    <row r="8" spans="1:26">
      <c r="A8" s="20">
        <v>7</v>
      </c>
      <c r="B8" s="97">
        <v>11</v>
      </c>
      <c r="S8" s="20">
        <v>6</v>
      </c>
      <c r="T8" s="20">
        <v>6</v>
      </c>
    </row>
    <row r="9" spans="1:26">
      <c r="A9" s="20">
        <v>8</v>
      </c>
      <c r="B9" s="20">
        <v>7</v>
      </c>
      <c r="S9" s="20">
        <v>7</v>
      </c>
      <c r="T9" s="20">
        <v>11</v>
      </c>
    </row>
    <row r="10" spans="1:26">
      <c r="A10" s="20">
        <v>9</v>
      </c>
      <c r="B10" s="20">
        <v>9</v>
      </c>
      <c r="S10" s="20">
        <v>8</v>
      </c>
      <c r="T10" s="20">
        <v>7</v>
      </c>
    </row>
    <row r="11" spans="1:26">
      <c r="A11" s="20">
        <v>10</v>
      </c>
      <c r="B11" s="20">
        <v>11</v>
      </c>
      <c r="S11" s="20">
        <v>9</v>
      </c>
      <c r="T11" s="20">
        <v>9</v>
      </c>
    </row>
    <row r="12" spans="1:26">
      <c r="A12" s="20">
        <v>11</v>
      </c>
      <c r="B12" s="97">
        <v>10</v>
      </c>
      <c r="S12" s="20">
        <v>10</v>
      </c>
      <c r="T12" s="20">
        <v>11</v>
      </c>
    </row>
    <row r="13" spans="1:26">
      <c r="A13" s="20">
        <v>12</v>
      </c>
      <c r="B13" s="20">
        <v>13</v>
      </c>
      <c r="S13" s="20">
        <v>11</v>
      </c>
      <c r="T13" s="20">
        <v>10</v>
      </c>
    </row>
    <row r="14" spans="1:26">
      <c r="S14" s="20">
        <v>12</v>
      </c>
      <c r="T14" s="20">
        <v>13</v>
      </c>
    </row>
    <row r="17" spans="1:20">
      <c r="A17" s="28" t="s">
        <v>96</v>
      </c>
      <c r="B17" s="28" t="s">
        <v>98</v>
      </c>
    </row>
    <row r="18" spans="1:20">
      <c r="A18" s="20">
        <v>1</v>
      </c>
      <c r="B18" s="20">
        <v>5</v>
      </c>
      <c r="S18" s="28" t="s">
        <v>96</v>
      </c>
      <c r="T18" s="28" t="s">
        <v>98</v>
      </c>
    </row>
    <row r="19" spans="1:20">
      <c r="A19" s="20">
        <v>2</v>
      </c>
      <c r="B19" s="20">
        <v>4</v>
      </c>
      <c r="S19" s="20">
        <v>1</v>
      </c>
      <c r="T19" s="20">
        <v>5</v>
      </c>
    </row>
    <row r="20" spans="1:20">
      <c r="A20" s="20">
        <v>3</v>
      </c>
      <c r="B20" s="20">
        <v>8</v>
      </c>
      <c r="S20" s="20">
        <v>2</v>
      </c>
      <c r="T20" s="20">
        <v>4</v>
      </c>
    </row>
    <row r="21" spans="1:20">
      <c r="A21" s="20">
        <v>4</v>
      </c>
      <c r="B21" s="20">
        <v>4</v>
      </c>
      <c r="S21" s="20">
        <v>3</v>
      </c>
      <c r="T21" s="20">
        <v>8</v>
      </c>
    </row>
    <row r="22" spans="1:20">
      <c r="A22" s="20">
        <v>5</v>
      </c>
      <c r="B22" s="20">
        <v>8</v>
      </c>
      <c r="S22" s="20">
        <v>4</v>
      </c>
      <c r="T22" s="20">
        <v>4</v>
      </c>
    </row>
    <row r="23" spans="1:20">
      <c r="A23" s="20">
        <v>6</v>
      </c>
      <c r="B23" s="20">
        <v>6</v>
      </c>
      <c r="S23" s="20">
        <v>5</v>
      </c>
      <c r="T23" s="20">
        <v>8</v>
      </c>
    </row>
    <row r="24" spans="1:20">
      <c r="A24" s="20">
        <v>7</v>
      </c>
      <c r="B24" s="103">
        <v>11</v>
      </c>
      <c r="S24" s="20">
        <v>6</v>
      </c>
      <c r="T24" s="20">
        <v>6</v>
      </c>
    </row>
    <row r="25" spans="1:20">
      <c r="A25" s="20">
        <v>8</v>
      </c>
      <c r="B25" s="20">
        <v>7</v>
      </c>
      <c r="S25" s="20">
        <v>7</v>
      </c>
      <c r="T25" s="20">
        <v>11</v>
      </c>
    </row>
    <row r="26" spans="1:20">
      <c r="A26" s="20">
        <v>9</v>
      </c>
      <c r="B26" s="20">
        <v>9</v>
      </c>
      <c r="S26" s="20">
        <v>8</v>
      </c>
      <c r="T26" s="20">
        <v>7</v>
      </c>
    </row>
    <row r="27" spans="1:20">
      <c r="A27" s="20">
        <v>10</v>
      </c>
      <c r="B27" s="20">
        <v>11</v>
      </c>
      <c r="S27" s="20">
        <v>9</v>
      </c>
      <c r="T27" s="20">
        <v>9</v>
      </c>
    </row>
    <row r="28" spans="1:20">
      <c r="A28" s="20">
        <v>11</v>
      </c>
      <c r="B28" s="20">
        <v>10</v>
      </c>
      <c r="S28" s="20">
        <v>10</v>
      </c>
      <c r="T28" s="20">
        <v>11</v>
      </c>
    </row>
    <row r="29" spans="1:20">
      <c r="A29" s="20">
        <v>12</v>
      </c>
      <c r="B29" s="20">
        <v>13</v>
      </c>
      <c r="S29" s="20">
        <v>11</v>
      </c>
      <c r="T29" s="103">
        <v>10</v>
      </c>
    </row>
    <row r="30" spans="1:20">
      <c r="S30" s="20">
        <v>12</v>
      </c>
      <c r="T30" s="20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342D-7275-4E8A-8E0C-BD7B886B96B9}">
  <dimension ref="B1:F15"/>
  <sheetViews>
    <sheetView showGridLines="0" workbookViewId="0">
      <selection activeCell="E6" sqref="E6"/>
    </sheetView>
  </sheetViews>
  <sheetFormatPr defaultRowHeight="14.25"/>
  <cols>
    <col min="2" max="2" width="25.46484375" customWidth="1"/>
    <col min="3" max="3" width="16.9296875" customWidth="1"/>
    <col min="5" max="5" width="101.59765625" customWidth="1"/>
    <col min="6" max="6" width="34.73046875" style="1" customWidth="1"/>
  </cols>
  <sheetData>
    <row r="1" spans="2:6">
      <c r="F1" s="140" t="s">
        <v>201</v>
      </c>
    </row>
    <row r="2" spans="2:6">
      <c r="B2" s="8" t="s">
        <v>187</v>
      </c>
      <c r="C2" s="219"/>
      <c r="F2" s="139" t="s">
        <v>188</v>
      </c>
    </row>
    <row r="3" spans="2:6">
      <c r="C3" s="219"/>
      <c r="F3" s="139" t="s">
        <v>189</v>
      </c>
    </row>
    <row r="4" spans="2:6">
      <c r="C4" s="219"/>
      <c r="F4" s="1">
        <v>54</v>
      </c>
    </row>
    <row r="6" spans="2:6">
      <c r="B6" s="8" t="s">
        <v>192</v>
      </c>
      <c r="C6" s="219"/>
      <c r="F6" s="139" t="s">
        <v>193</v>
      </c>
    </row>
    <row r="7" spans="2:6">
      <c r="B7" s="8"/>
      <c r="C7" s="219"/>
      <c r="F7" s="139" t="s">
        <v>194</v>
      </c>
    </row>
    <row r="8" spans="2:6">
      <c r="B8" s="8" t="s">
        <v>190</v>
      </c>
      <c r="C8" s="219"/>
      <c r="F8" s="139" t="s">
        <v>195</v>
      </c>
    </row>
    <row r="9" spans="2:6">
      <c r="B9" s="8" t="s">
        <v>191</v>
      </c>
      <c r="C9" s="219"/>
      <c r="F9" s="139" t="s">
        <v>196</v>
      </c>
    </row>
    <row r="10" spans="2:6">
      <c r="C10" s="219"/>
      <c r="F10" s="139" t="s">
        <v>197</v>
      </c>
    </row>
    <row r="11" spans="2:6">
      <c r="F11" s="1">
        <v>19</v>
      </c>
    </row>
    <row r="13" spans="2:6">
      <c r="B13" t="s">
        <v>198</v>
      </c>
      <c r="C13" s="219"/>
      <c r="F13" s="139" t="s">
        <v>199</v>
      </c>
    </row>
    <row r="14" spans="2:6">
      <c r="C14" s="219"/>
      <c r="F14" s="139" t="s">
        <v>200</v>
      </c>
    </row>
    <row r="15" spans="2:6">
      <c r="C15" s="219"/>
      <c r="F15" s="1">
        <v>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7F13-3E2A-489F-9188-2A03707EA70B}">
  <dimension ref="B1:Q20"/>
  <sheetViews>
    <sheetView showGridLines="0" zoomScale="90" zoomScaleNormal="90" workbookViewId="0">
      <selection activeCell="G11" sqref="G11"/>
    </sheetView>
  </sheetViews>
  <sheetFormatPr defaultRowHeight="14.25"/>
  <cols>
    <col min="2" max="2" width="12.9296875" customWidth="1"/>
    <col min="8" max="8" width="87.46484375" customWidth="1"/>
    <col min="10" max="10" width="13.06640625" bestFit="1" customWidth="1"/>
    <col min="11" max="11" width="10.53125" bestFit="1" customWidth="1"/>
  </cols>
  <sheetData>
    <row r="1" spans="2:17" ht="14.65" thickBot="1">
      <c r="I1" s="240" t="s">
        <v>201</v>
      </c>
      <c r="J1" s="240"/>
      <c r="K1" s="294" t="s">
        <v>357</v>
      </c>
      <c r="L1" s="294"/>
      <c r="M1" s="294"/>
      <c r="N1" s="294"/>
      <c r="O1" s="294"/>
      <c r="P1" s="294"/>
      <c r="Q1" s="294"/>
    </row>
    <row r="2" spans="2:17">
      <c r="B2" s="246" t="s">
        <v>347</v>
      </c>
      <c r="C2" s="247"/>
      <c r="D2" s="247"/>
      <c r="E2" s="247"/>
      <c r="F2" s="247"/>
      <c r="G2" s="248"/>
      <c r="J2" s="240" t="s">
        <v>359</v>
      </c>
      <c r="K2" s="20">
        <v>4</v>
      </c>
      <c r="L2" s="20">
        <v>6</v>
      </c>
      <c r="M2" s="20">
        <v>8</v>
      </c>
      <c r="N2" s="20">
        <v>10</v>
      </c>
      <c r="O2" s="20">
        <v>12</v>
      </c>
      <c r="P2" s="20">
        <v>14</v>
      </c>
      <c r="Q2" s="20">
        <v>16</v>
      </c>
    </row>
    <row r="3" spans="2:17" ht="14.65" thickBot="1">
      <c r="B3" s="249" t="s">
        <v>348</v>
      </c>
      <c r="C3" s="250"/>
      <c r="D3" s="250"/>
      <c r="E3" s="250"/>
      <c r="F3" s="250"/>
      <c r="G3" s="251"/>
      <c r="J3" s="141" t="s">
        <v>358</v>
      </c>
      <c r="K3" s="217">
        <f>0.5-0.9972/2</f>
        <v>1.4000000000000123E-3</v>
      </c>
      <c r="L3" s="241">
        <f>0.5-0.9544/2</f>
        <v>2.2799999999999987E-2</v>
      </c>
      <c r="M3" s="241">
        <f>0.5-0.6826/2</f>
        <v>0.15870000000000001</v>
      </c>
      <c r="N3" s="241">
        <v>0.5</v>
      </c>
      <c r="O3" s="241">
        <f>0.5+0.6826/2</f>
        <v>0.84129999999999994</v>
      </c>
      <c r="P3" s="241">
        <f>0.5+0.9544/2</f>
        <v>0.97720000000000007</v>
      </c>
      <c r="Q3" s="241">
        <f>0.5+0.9972/2</f>
        <v>0.99859999999999993</v>
      </c>
    </row>
    <row r="5" spans="2:17" ht="14.65" thickBot="1"/>
    <row r="6" spans="2:17" ht="14.65" thickBot="1">
      <c r="B6" s="8" t="s">
        <v>349</v>
      </c>
      <c r="C6" s="220"/>
      <c r="J6" s="8" t="s">
        <v>349</v>
      </c>
      <c r="K6" s="242">
        <v>0.5</v>
      </c>
      <c r="L6" s="244">
        <f>K6</f>
        <v>0.5</v>
      </c>
    </row>
    <row r="7" spans="2:17" ht="14.65" thickBot="1">
      <c r="K7" s="19"/>
      <c r="L7" s="19"/>
    </row>
    <row r="8" spans="2:17" ht="14.65" thickBot="1">
      <c r="B8" s="8" t="s">
        <v>350</v>
      </c>
      <c r="C8" s="220"/>
      <c r="J8" s="8" t="s">
        <v>350</v>
      </c>
      <c r="K8" s="19">
        <v>0</v>
      </c>
      <c r="L8" s="243">
        <v>0</v>
      </c>
    </row>
    <row r="9" spans="2:17" ht="14.65" thickBot="1">
      <c r="K9" s="19"/>
      <c r="L9" s="19"/>
    </row>
    <row r="10" spans="2:17" ht="14.65" thickBot="1">
      <c r="B10" s="8" t="s">
        <v>351</v>
      </c>
      <c r="C10" s="220"/>
      <c r="J10" s="8" t="s">
        <v>351</v>
      </c>
      <c r="K10" s="245">
        <f>1-M3</f>
        <v>0.84129999999999994</v>
      </c>
      <c r="L10" s="244">
        <f>K10</f>
        <v>0.84129999999999994</v>
      </c>
    </row>
    <row r="11" spans="2:17" ht="14.65" thickBot="1">
      <c r="K11" s="19"/>
      <c r="L11" s="19"/>
    </row>
    <row r="12" spans="2:17" ht="14.65" thickBot="1">
      <c r="B12" s="8" t="s">
        <v>353</v>
      </c>
      <c r="C12" s="220"/>
      <c r="J12" s="8" t="s">
        <v>353</v>
      </c>
      <c r="K12" s="245">
        <f>M3</f>
        <v>0.15870000000000001</v>
      </c>
      <c r="L12" s="244">
        <f>K12</f>
        <v>0.15870000000000001</v>
      </c>
    </row>
    <row r="13" spans="2:17" ht="14.65" thickBot="1">
      <c r="K13" s="19"/>
      <c r="L13" s="19"/>
    </row>
    <row r="14" spans="2:17" ht="14.65" thickBot="1">
      <c r="B14" s="8" t="s">
        <v>352</v>
      </c>
      <c r="C14" s="220"/>
      <c r="J14" s="8" t="s">
        <v>352</v>
      </c>
      <c r="K14" s="245">
        <f>P3-L3</f>
        <v>0.95440000000000014</v>
      </c>
      <c r="L14" s="244">
        <f>K14</f>
        <v>0.95440000000000014</v>
      </c>
    </row>
    <row r="15" spans="2:17" ht="14.65" thickBot="1">
      <c r="K15" s="19"/>
      <c r="L15" s="19"/>
    </row>
    <row r="16" spans="2:17" ht="14.65" thickBot="1">
      <c r="B16" t="s">
        <v>354</v>
      </c>
      <c r="C16" s="220"/>
      <c r="J16" t="s">
        <v>354</v>
      </c>
      <c r="K16" s="19">
        <f>1-K3</f>
        <v>0.99859999999999993</v>
      </c>
      <c r="L16" s="244">
        <f>K16</f>
        <v>0.99859999999999993</v>
      </c>
    </row>
    <row r="17" spans="2:12" ht="14.65" thickBot="1">
      <c r="K17" s="19"/>
      <c r="L17" s="19"/>
    </row>
    <row r="18" spans="2:12" ht="14.65" thickBot="1">
      <c r="B18" t="s">
        <v>355</v>
      </c>
      <c r="C18" s="220"/>
      <c r="J18" t="s">
        <v>355</v>
      </c>
      <c r="K18" s="245">
        <f>Q3</f>
        <v>0.99859999999999993</v>
      </c>
      <c r="L18" s="244">
        <f>K18</f>
        <v>0.99859999999999993</v>
      </c>
    </row>
    <row r="19" spans="2:12" ht="14.65" thickBot="1">
      <c r="K19" s="19"/>
      <c r="L19" s="19"/>
    </row>
    <row r="20" spans="2:12" ht="14.65" thickBot="1">
      <c r="B20" t="s">
        <v>356</v>
      </c>
      <c r="C20" s="220"/>
      <c r="J20" t="s">
        <v>356</v>
      </c>
      <c r="K20" s="245">
        <f>P3-M3</f>
        <v>0.81850000000000001</v>
      </c>
      <c r="L20" s="244">
        <f>K20</f>
        <v>0.81850000000000001</v>
      </c>
    </row>
  </sheetData>
  <mergeCells count="1">
    <mergeCell ref="K1:Q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1CEC-D8AA-4E84-89EB-68BAD3758363}">
  <dimension ref="B1:K21"/>
  <sheetViews>
    <sheetView showGridLines="0" tabSelected="1" zoomScale="80" zoomScaleNormal="80" workbookViewId="0">
      <selection activeCell="M5" sqref="M5"/>
    </sheetView>
  </sheetViews>
  <sheetFormatPr defaultRowHeight="14.25"/>
  <cols>
    <col min="1" max="1" width="4.06640625" customWidth="1"/>
    <col min="2" max="2" width="6.46484375" style="19" customWidth="1"/>
    <col min="3" max="9" width="6.1328125" style="19" customWidth="1"/>
    <col min="10" max="10" width="7.86328125" style="19" customWidth="1"/>
  </cols>
  <sheetData>
    <row r="1" spans="2:11">
      <c r="B1" s="1"/>
    </row>
    <row r="2" spans="2:11">
      <c r="B2" s="139" t="s">
        <v>440</v>
      </c>
    </row>
    <row r="3" spans="2:11" ht="14.65" thickBot="1">
      <c r="B3" s="139"/>
    </row>
    <row r="4" spans="2:11" ht="14.65" thickBot="1">
      <c r="B4" s="310" t="s">
        <v>441</v>
      </c>
      <c r="C4" s="297" t="s">
        <v>439</v>
      </c>
      <c r="D4" s="331"/>
      <c r="E4" s="331"/>
      <c r="F4" s="331"/>
      <c r="G4" s="331"/>
      <c r="H4" s="331"/>
      <c r="I4" s="298"/>
      <c r="J4" s="321" t="s">
        <v>436</v>
      </c>
      <c r="K4" s="325" t="s">
        <v>438</v>
      </c>
    </row>
    <row r="5" spans="2:11">
      <c r="B5" s="310">
        <v>2</v>
      </c>
      <c r="C5" s="313" t="s">
        <v>433</v>
      </c>
      <c r="D5" s="314"/>
      <c r="E5" s="314"/>
      <c r="F5" s="314"/>
      <c r="G5" s="314"/>
      <c r="H5" s="314"/>
      <c r="I5" s="319"/>
      <c r="J5" s="322">
        <v>1</v>
      </c>
      <c r="K5" s="326"/>
    </row>
    <row r="6" spans="2:11">
      <c r="B6" s="311">
        <v>3</v>
      </c>
      <c r="C6" s="315"/>
      <c r="D6" s="20"/>
      <c r="E6" s="20"/>
      <c r="F6" s="20"/>
      <c r="G6" s="20"/>
      <c r="H6" s="20"/>
      <c r="I6" s="255"/>
      <c r="J6" s="323"/>
      <c r="K6" s="327"/>
    </row>
    <row r="7" spans="2:11">
      <c r="B7" s="311">
        <v>4</v>
      </c>
      <c r="C7" s="315"/>
      <c r="D7" s="20"/>
      <c r="E7" s="20"/>
      <c r="F7" s="20"/>
      <c r="G7" s="20"/>
      <c r="H7" s="20"/>
      <c r="I7" s="255"/>
      <c r="J7" s="323"/>
      <c r="K7" s="327"/>
    </row>
    <row r="8" spans="2:11">
      <c r="B8" s="311">
        <v>5</v>
      </c>
      <c r="C8" s="315"/>
      <c r="D8" s="20"/>
      <c r="E8" s="20"/>
      <c r="F8" s="20"/>
      <c r="G8" s="20"/>
      <c r="H8" s="20"/>
      <c r="I8" s="255"/>
      <c r="J8" s="323"/>
      <c r="K8" s="327"/>
    </row>
    <row r="9" spans="2:11">
      <c r="B9" s="311">
        <v>6</v>
      </c>
      <c r="C9" s="315"/>
      <c r="D9" s="20"/>
      <c r="E9" s="20"/>
      <c r="F9" s="20"/>
      <c r="G9" s="20"/>
      <c r="H9" s="20"/>
      <c r="I9" s="255"/>
      <c r="J9" s="323"/>
      <c r="K9" s="327"/>
    </row>
    <row r="10" spans="2:11">
      <c r="B10" s="311">
        <v>7</v>
      </c>
      <c r="C10" s="315"/>
      <c r="D10" s="20"/>
      <c r="E10" s="20"/>
      <c r="F10" s="20"/>
      <c r="G10" s="20"/>
      <c r="H10" s="20"/>
      <c r="I10" s="255"/>
      <c r="J10" s="323"/>
      <c r="K10" s="327"/>
    </row>
    <row r="11" spans="2:11">
      <c r="B11" s="311">
        <v>8</v>
      </c>
      <c r="C11" s="315"/>
      <c r="D11" s="20"/>
      <c r="E11" s="20"/>
      <c r="F11" s="20"/>
      <c r="G11" s="20"/>
      <c r="H11" s="20"/>
      <c r="I11" s="255"/>
      <c r="J11" s="323"/>
      <c r="K11" s="327"/>
    </row>
    <row r="12" spans="2:11">
      <c r="B12" s="311">
        <v>9</v>
      </c>
      <c r="C12" s="315"/>
      <c r="D12" s="20"/>
      <c r="E12" s="20"/>
      <c r="F12" s="20"/>
      <c r="G12" s="20"/>
      <c r="H12" s="20"/>
      <c r="I12" s="255"/>
      <c r="J12" s="323"/>
      <c r="K12" s="327"/>
    </row>
    <row r="13" spans="2:11">
      <c r="B13" s="311">
        <v>10</v>
      </c>
      <c r="C13" s="315"/>
      <c r="D13" s="20"/>
      <c r="E13" s="20"/>
      <c r="F13" s="20"/>
      <c r="G13" s="20"/>
      <c r="H13" s="20"/>
      <c r="I13" s="255"/>
      <c r="J13" s="323"/>
      <c r="K13" s="327"/>
    </row>
    <row r="14" spans="2:11">
      <c r="B14" s="311">
        <v>11</v>
      </c>
      <c r="C14" s="316" t="s">
        <v>434</v>
      </c>
      <c r="D14" s="153" t="s">
        <v>435</v>
      </c>
      <c r="E14" s="20"/>
      <c r="F14" s="20"/>
      <c r="G14" s="20"/>
      <c r="H14" s="20"/>
      <c r="I14" s="255"/>
      <c r="J14" s="323">
        <v>2</v>
      </c>
      <c r="K14" s="327"/>
    </row>
    <row r="15" spans="2:11" ht="14.65" thickBot="1">
      <c r="B15" s="312">
        <v>12</v>
      </c>
      <c r="C15" s="317"/>
      <c r="D15" s="318"/>
      <c r="E15" s="318"/>
      <c r="F15" s="318"/>
      <c r="G15" s="318"/>
      <c r="H15" s="318"/>
      <c r="I15" s="320"/>
      <c r="J15" s="324"/>
      <c r="K15" s="328"/>
    </row>
    <row r="16" spans="2:11" ht="14.65" thickBot="1">
      <c r="I16" s="197" t="s">
        <v>437</v>
      </c>
      <c r="J16" s="329"/>
      <c r="K16" s="330"/>
    </row>
    <row r="19" spans="2:2">
      <c r="B19" s="1" t="s">
        <v>442</v>
      </c>
    </row>
    <row r="20" spans="2:2">
      <c r="B20" s="1" t="s">
        <v>443</v>
      </c>
    </row>
    <row r="21" spans="2:2">
      <c r="B21" s="1" t="s">
        <v>444</v>
      </c>
    </row>
  </sheetData>
  <mergeCells count="1">
    <mergeCell ref="C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8EC5-F5AF-4396-86FC-7575D8AE6F9C}">
  <dimension ref="B1:L20"/>
  <sheetViews>
    <sheetView showGridLines="0" zoomScale="90" zoomScaleNormal="90" workbookViewId="0">
      <selection activeCell="J9" sqref="J9"/>
    </sheetView>
  </sheetViews>
  <sheetFormatPr defaultRowHeight="14.25"/>
  <cols>
    <col min="10" max="10" width="82.19921875" customWidth="1"/>
    <col min="12" max="12" width="8.73046875" style="19"/>
  </cols>
  <sheetData>
    <row r="1" spans="2:12" ht="14.65" thickBot="1"/>
    <row r="2" spans="2:12" ht="14.65" thickBot="1">
      <c r="B2" s="252" t="s">
        <v>360</v>
      </c>
      <c r="C2" s="253"/>
      <c r="D2" s="253"/>
      <c r="E2" s="253"/>
      <c r="F2" s="253"/>
      <c r="G2" s="253"/>
      <c r="H2" s="253"/>
      <c r="I2" s="254"/>
      <c r="K2" s="141" t="s">
        <v>201</v>
      </c>
      <c r="L2" s="240"/>
    </row>
    <row r="3" spans="2:12" ht="14.65" thickBot="1"/>
    <row r="4" spans="2:12" ht="14.65" thickBot="1">
      <c r="B4" s="260" t="s">
        <v>361</v>
      </c>
      <c r="C4" s="261" t="s">
        <v>87</v>
      </c>
      <c r="D4" s="260" t="s">
        <v>96</v>
      </c>
      <c r="E4" s="262" t="s">
        <v>362</v>
      </c>
    </row>
    <row r="5" spans="2:12" ht="14.65" thickBot="1">
      <c r="B5" s="19"/>
      <c r="C5" s="19"/>
      <c r="D5" s="19"/>
      <c r="E5" s="19"/>
    </row>
    <row r="6" spans="2:12" ht="14.65" thickBot="1">
      <c r="B6" s="20">
        <v>10</v>
      </c>
      <c r="C6" s="20">
        <v>2</v>
      </c>
      <c r="D6" s="255">
        <v>10</v>
      </c>
      <c r="E6" s="221"/>
      <c r="L6" s="151">
        <f>(D6-B6)/C6</f>
        <v>0</v>
      </c>
    </row>
    <row r="7" spans="2:12" ht="14.65" thickBot="1">
      <c r="B7" s="19"/>
      <c r="C7" s="19"/>
      <c r="D7" s="19"/>
      <c r="E7" s="19"/>
      <c r="L7" s="256"/>
    </row>
    <row r="8" spans="2:12" ht="14.65" thickBot="1">
      <c r="B8" s="20">
        <v>10</v>
      </c>
      <c r="C8" s="20">
        <v>2</v>
      </c>
      <c r="D8" s="20">
        <v>12</v>
      </c>
      <c r="E8" s="221"/>
      <c r="L8" s="151">
        <f>(D8-B8)/C8</f>
        <v>1</v>
      </c>
    </row>
    <row r="9" spans="2:12" ht="14.65" thickBot="1">
      <c r="B9" s="19"/>
      <c r="C9" s="19"/>
      <c r="D9" s="19"/>
      <c r="E9" s="19"/>
      <c r="L9" s="256"/>
    </row>
    <row r="10" spans="2:12" ht="14.65" thickBot="1">
      <c r="B10" s="20">
        <v>10</v>
      </c>
      <c r="C10" s="20">
        <v>2</v>
      </c>
      <c r="D10" s="20">
        <v>6</v>
      </c>
      <c r="E10" s="221"/>
      <c r="L10" s="151">
        <f>(D10-B10)/C10</f>
        <v>-2</v>
      </c>
    </row>
    <row r="11" spans="2:12" ht="14.65" thickBot="1">
      <c r="B11" s="19"/>
      <c r="C11" s="19"/>
      <c r="D11" s="19"/>
      <c r="E11" s="19"/>
      <c r="L11" s="256"/>
    </row>
    <row r="12" spans="2:12" ht="14.65" thickBot="1">
      <c r="B12" s="20">
        <v>25</v>
      </c>
      <c r="C12" s="20">
        <v>5</v>
      </c>
      <c r="D12" s="20">
        <v>30</v>
      </c>
      <c r="E12" s="221"/>
      <c r="L12" s="151">
        <f>(D12-B12)/C12</f>
        <v>1</v>
      </c>
    </row>
    <row r="13" spans="2:12" ht="14.65" thickBot="1">
      <c r="B13" s="19"/>
      <c r="C13" s="19"/>
      <c r="D13" s="19"/>
      <c r="E13" s="19"/>
      <c r="L13" s="256"/>
    </row>
    <row r="14" spans="2:12" ht="14.65" thickBot="1">
      <c r="B14" s="20">
        <v>25</v>
      </c>
      <c r="C14" s="20">
        <v>5</v>
      </c>
      <c r="D14" s="20">
        <v>33.225000000000001</v>
      </c>
      <c r="E14" s="221"/>
      <c r="L14" s="151">
        <f>(D14-B14)/C14</f>
        <v>1.6450000000000002</v>
      </c>
    </row>
    <row r="15" spans="2:12" ht="14.65" thickBot="1">
      <c r="B15" s="19"/>
      <c r="C15" s="19"/>
      <c r="D15" s="19"/>
      <c r="E15" s="19"/>
      <c r="L15" s="256"/>
    </row>
    <row r="16" spans="2:12" ht="14.65" thickBot="1">
      <c r="B16" s="20">
        <v>100</v>
      </c>
      <c r="C16" s="20">
        <v>15</v>
      </c>
      <c r="D16" s="20">
        <v>115</v>
      </c>
      <c r="E16" s="221"/>
      <c r="G16" s="257" t="s">
        <v>363</v>
      </c>
      <c r="H16" s="69"/>
      <c r="I16" s="70"/>
      <c r="L16" s="151">
        <f>(D16-B16)/C16</f>
        <v>1</v>
      </c>
    </row>
    <row r="17" spans="2:12" ht="14.65" thickBot="1">
      <c r="B17" s="19"/>
      <c r="C17" s="19"/>
      <c r="D17" s="19"/>
      <c r="E17" s="19"/>
      <c r="G17" s="258" t="s">
        <v>364</v>
      </c>
      <c r="H17" s="85"/>
      <c r="I17" s="259"/>
      <c r="L17" s="256"/>
    </row>
    <row r="18" spans="2:12" ht="14.65" thickBot="1">
      <c r="B18" s="20">
        <v>100</v>
      </c>
      <c r="C18" s="20">
        <v>15</v>
      </c>
      <c r="D18" s="20">
        <v>90</v>
      </c>
      <c r="E18" s="221"/>
      <c r="L18" s="151">
        <f>(D18-B18)/C18</f>
        <v>-0.66666666666666663</v>
      </c>
    </row>
    <row r="19" spans="2:12" ht="14.65" thickBot="1">
      <c r="B19" s="19"/>
      <c r="C19" s="19"/>
      <c r="D19" s="19"/>
      <c r="L19" s="256"/>
    </row>
    <row r="20" spans="2:12" ht="14.65" thickBot="1">
      <c r="B20" s="20">
        <v>100</v>
      </c>
      <c r="C20" s="20">
        <v>15</v>
      </c>
      <c r="D20" s="20">
        <v>145</v>
      </c>
      <c r="E20" s="221"/>
      <c r="L20" s="151">
        <f>(D20-B20)/C20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4D12-B3BB-46B0-8600-F3D61269BF04}">
  <dimension ref="A1:V102"/>
  <sheetViews>
    <sheetView showGridLines="0" workbookViewId="0">
      <selection activeCell="G12" sqref="G12"/>
    </sheetView>
  </sheetViews>
  <sheetFormatPr defaultRowHeight="14.25"/>
  <cols>
    <col min="1" max="1" width="1.53125" customWidth="1"/>
    <col min="2" max="2" width="28" customWidth="1"/>
    <col min="3" max="3" width="1.33203125" customWidth="1"/>
    <col min="4" max="4" width="10.796875" style="130" customWidth="1"/>
    <col min="5" max="5" width="1.53125" customWidth="1"/>
    <col min="6" max="6" width="9.33203125" customWidth="1"/>
    <col min="7" max="7" width="8.73046875" style="19"/>
    <col min="8" max="8" width="1.73046875" customWidth="1"/>
    <col min="9" max="9" width="8.19921875" customWidth="1"/>
    <col min="10" max="10" width="7.33203125" style="19" customWidth="1"/>
    <col min="11" max="11" width="1.73046875" customWidth="1"/>
    <col min="12" max="20" width="8.73046875" style="19"/>
    <col min="21" max="21" width="9.33203125" style="19" bestFit="1" customWidth="1"/>
    <col min="22" max="22" width="2" customWidth="1"/>
  </cols>
  <sheetData>
    <row r="1" spans="1:22" ht="14.65" thickBot="1">
      <c r="A1" s="104"/>
      <c r="B1" s="105" t="s">
        <v>150</v>
      </c>
      <c r="C1" s="104"/>
      <c r="D1" s="106" t="s">
        <v>151</v>
      </c>
      <c r="E1" s="104"/>
      <c r="F1" s="295" t="s">
        <v>152</v>
      </c>
      <c r="G1" s="296"/>
      <c r="H1" s="104"/>
      <c r="I1" s="297" t="s">
        <v>153</v>
      </c>
      <c r="J1" s="298"/>
      <c r="K1" s="104"/>
      <c r="L1" s="107" t="s">
        <v>154</v>
      </c>
      <c r="M1" s="108" t="s">
        <v>155</v>
      </c>
      <c r="N1" s="108" t="s">
        <v>156</v>
      </c>
      <c r="O1" s="108" t="s">
        <v>157</v>
      </c>
      <c r="P1" s="108" t="s">
        <v>158</v>
      </c>
      <c r="Q1" s="108" t="s">
        <v>159</v>
      </c>
      <c r="R1" s="108" t="s">
        <v>160</v>
      </c>
      <c r="S1" s="108" t="s">
        <v>161</v>
      </c>
      <c r="T1" s="108" t="s">
        <v>162</v>
      </c>
      <c r="U1" s="109" t="s">
        <v>163</v>
      </c>
      <c r="V1" s="104"/>
    </row>
    <row r="2" spans="1:22">
      <c r="A2" s="104"/>
      <c r="B2" s="24"/>
      <c r="C2" s="104"/>
      <c r="D2" s="110">
        <v>0</v>
      </c>
      <c r="E2" s="111"/>
      <c r="F2" s="112" t="s">
        <v>164</v>
      </c>
      <c r="G2" s="113">
        <f>COUNT(D2:D102)</f>
        <v>101</v>
      </c>
      <c r="H2" s="111"/>
      <c r="I2" s="88" t="s">
        <v>165</v>
      </c>
      <c r="J2" s="114">
        <f ca="1">AVERAGE(L2:L31)</f>
        <v>55.43948274831336</v>
      </c>
      <c r="K2" s="111"/>
      <c r="L2" s="115">
        <f ca="1">100*RAND()</f>
        <v>12.911747822064878</v>
      </c>
      <c r="M2" s="115">
        <f t="shared" ref="M2:U17" ca="1" si="0">100*RAND()</f>
        <v>74.03467474413452</v>
      </c>
      <c r="N2" s="115">
        <f t="shared" ca="1" si="0"/>
        <v>75.136646695394461</v>
      </c>
      <c r="O2" s="115">
        <f t="shared" ca="1" si="0"/>
        <v>91.139125823104649</v>
      </c>
      <c r="P2" s="115">
        <f t="shared" ca="1" si="0"/>
        <v>97.222143176254434</v>
      </c>
      <c r="Q2" s="115">
        <f t="shared" ca="1" si="0"/>
        <v>9.3903445453599304</v>
      </c>
      <c r="R2" s="115">
        <f t="shared" ca="1" si="0"/>
        <v>16.85919027277215</v>
      </c>
      <c r="S2" s="115">
        <f t="shared" ca="1" si="0"/>
        <v>93.745378065257327</v>
      </c>
      <c r="T2" s="115">
        <f t="shared" ca="1" si="0"/>
        <v>26.688702664871833</v>
      </c>
      <c r="U2" s="115">
        <f t="shared" ca="1" si="0"/>
        <v>90.332951803141597</v>
      </c>
      <c r="V2" s="111"/>
    </row>
    <row r="3" spans="1:22">
      <c r="A3" s="104"/>
      <c r="B3" s="116"/>
      <c r="C3" s="104"/>
      <c r="D3" s="117">
        <v>1</v>
      </c>
      <c r="E3" s="118"/>
      <c r="F3" s="119" t="s">
        <v>166</v>
      </c>
      <c r="G3" s="120">
        <f>AVERAGE(D2:D102)</f>
        <v>50</v>
      </c>
      <c r="H3" s="118"/>
      <c r="I3" s="89" t="s">
        <v>167</v>
      </c>
      <c r="J3" s="121">
        <f ca="1">AVERAGE(M2:M31)</f>
        <v>46.088171548642698</v>
      </c>
      <c r="K3" s="118"/>
      <c r="L3" s="115">
        <f t="shared" ref="L3:U18" ca="1" si="1">100*RAND()</f>
        <v>61.549793105764238</v>
      </c>
      <c r="M3" s="115">
        <f t="shared" ca="1" si="0"/>
        <v>71.190667936927227</v>
      </c>
      <c r="N3" s="115">
        <f t="shared" ca="1" si="0"/>
        <v>88.19448532544034</v>
      </c>
      <c r="O3" s="115">
        <f t="shared" ca="1" si="0"/>
        <v>27.789313833829475</v>
      </c>
      <c r="P3" s="115">
        <f t="shared" ca="1" si="0"/>
        <v>50.257883677647165</v>
      </c>
      <c r="Q3" s="115">
        <f t="shared" ca="1" si="0"/>
        <v>77.32230935035021</v>
      </c>
      <c r="R3" s="115">
        <f t="shared" ca="1" si="0"/>
        <v>55.858723258790747</v>
      </c>
      <c r="S3" s="115">
        <f t="shared" ca="1" si="0"/>
        <v>86.129358288638059</v>
      </c>
      <c r="T3" s="115">
        <f t="shared" ca="1" si="0"/>
        <v>70.250030346328302</v>
      </c>
      <c r="U3" s="115">
        <f t="shared" ca="1" si="0"/>
        <v>36.838976733300534</v>
      </c>
      <c r="V3" s="118"/>
    </row>
    <row r="4" spans="1:22" ht="14.65" thickBot="1">
      <c r="A4" s="104"/>
      <c r="B4" s="116"/>
      <c r="C4" s="104"/>
      <c r="D4" s="117">
        <f>1+D3</f>
        <v>2</v>
      </c>
      <c r="E4" s="118"/>
      <c r="F4" s="122" t="s">
        <v>168</v>
      </c>
      <c r="G4" s="123">
        <f>STDEV(D2:D102)</f>
        <v>29.300170647967224</v>
      </c>
      <c r="H4" s="118"/>
      <c r="I4" s="89" t="s">
        <v>169</v>
      </c>
      <c r="J4" s="121">
        <f ca="1">AVERAGE(N2:N31)</f>
        <v>53.787351844696396</v>
      </c>
      <c r="K4" s="118"/>
      <c r="L4" s="115">
        <f t="shared" ca="1" si="1"/>
        <v>57.458814659467997</v>
      </c>
      <c r="M4" s="115">
        <f t="shared" ca="1" si="0"/>
        <v>89.440508937693693</v>
      </c>
      <c r="N4" s="115">
        <f t="shared" ca="1" si="0"/>
        <v>36.833400874989685</v>
      </c>
      <c r="O4" s="115">
        <f t="shared" ca="1" si="0"/>
        <v>66.641323791638612</v>
      </c>
      <c r="P4" s="115">
        <f t="shared" ca="1" si="0"/>
        <v>53.72680261021803</v>
      </c>
      <c r="Q4" s="115">
        <f t="shared" ca="1" si="0"/>
        <v>17.454976272178225</v>
      </c>
      <c r="R4" s="115">
        <f t="shared" ca="1" si="0"/>
        <v>48.036678000911806</v>
      </c>
      <c r="S4" s="115">
        <f t="shared" ca="1" si="0"/>
        <v>98.528338166345335</v>
      </c>
      <c r="T4" s="115">
        <f t="shared" ca="1" si="0"/>
        <v>31.268528807907934</v>
      </c>
      <c r="U4" s="115">
        <f t="shared" ca="1" si="0"/>
        <v>19.19636949078739</v>
      </c>
      <c r="V4" s="118"/>
    </row>
    <row r="5" spans="1:22" ht="14.65" thickBot="1">
      <c r="A5" s="104"/>
      <c r="B5" s="116"/>
      <c r="C5" s="104"/>
      <c r="D5" s="117">
        <f t="shared" ref="D5:D68" si="2">1+D4</f>
        <v>3</v>
      </c>
      <c r="E5" s="118"/>
      <c r="F5" s="297" t="s">
        <v>153</v>
      </c>
      <c r="G5" s="298"/>
      <c r="H5" s="118"/>
      <c r="I5" s="89" t="s">
        <v>170</v>
      </c>
      <c r="J5" s="121">
        <f ca="1">AVERAGE(O2:O31)</f>
        <v>50.799898807835795</v>
      </c>
      <c r="K5" s="118"/>
      <c r="L5" s="115">
        <f t="shared" ca="1" si="1"/>
        <v>62.281800805632038</v>
      </c>
      <c r="M5" s="115">
        <f t="shared" ca="1" si="0"/>
        <v>35.185516454402965</v>
      </c>
      <c r="N5" s="115">
        <f t="shared" ca="1" si="0"/>
        <v>72.874009334248882</v>
      </c>
      <c r="O5" s="115">
        <f t="shared" ca="1" si="0"/>
        <v>52.303203430202814</v>
      </c>
      <c r="P5" s="115">
        <f t="shared" ca="1" si="0"/>
        <v>13.611322101645095</v>
      </c>
      <c r="Q5" s="115">
        <f t="shared" ca="1" si="0"/>
        <v>77.177582153273221</v>
      </c>
      <c r="R5" s="115">
        <f t="shared" ca="1" si="0"/>
        <v>63.103298119677675</v>
      </c>
      <c r="S5" s="115">
        <f t="shared" ca="1" si="0"/>
        <v>99.855162917219005</v>
      </c>
      <c r="T5" s="115">
        <f t="shared" ca="1" si="0"/>
        <v>91.049832877987029</v>
      </c>
      <c r="U5" s="115">
        <f t="shared" ca="1" si="0"/>
        <v>90.511284324305976</v>
      </c>
      <c r="V5" s="118"/>
    </row>
    <row r="6" spans="1:22">
      <c r="A6" s="104"/>
      <c r="B6" s="116"/>
      <c r="C6" s="104"/>
      <c r="D6" s="117">
        <f t="shared" si="2"/>
        <v>4</v>
      </c>
      <c r="E6" s="118"/>
      <c r="F6" s="119" t="s">
        <v>171</v>
      </c>
      <c r="G6" s="113">
        <v>30</v>
      </c>
      <c r="H6" s="118"/>
      <c r="I6" s="89" t="s">
        <v>172</v>
      </c>
      <c r="J6" s="121">
        <f ca="1">AVERAGE(P2:P31)</f>
        <v>55.964085274179801</v>
      </c>
      <c r="K6" s="118"/>
      <c r="L6" s="115">
        <f t="shared" ca="1" si="1"/>
        <v>95.252749222403949</v>
      </c>
      <c r="M6" s="115">
        <f t="shared" ca="1" si="0"/>
        <v>44.221057846626941</v>
      </c>
      <c r="N6" s="115">
        <f t="shared" ca="1" si="0"/>
        <v>4.2496832533416073</v>
      </c>
      <c r="O6" s="115">
        <f t="shared" ca="1" si="0"/>
        <v>31.549003063380198</v>
      </c>
      <c r="P6" s="115">
        <f t="shared" ca="1" si="0"/>
        <v>48.245033515308833</v>
      </c>
      <c r="Q6" s="115">
        <f t="shared" ca="1" si="0"/>
        <v>12.207435149888468</v>
      </c>
      <c r="R6" s="115">
        <f t="shared" ca="1" si="0"/>
        <v>10.005293313744268</v>
      </c>
      <c r="S6" s="115">
        <f t="shared" ca="1" si="0"/>
        <v>52.078636000304272</v>
      </c>
      <c r="T6" s="115">
        <f t="shared" ca="1" si="0"/>
        <v>96.600977820455668</v>
      </c>
      <c r="U6" s="115">
        <f t="shared" ca="1" si="0"/>
        <v>95.44469268969948</v>
      </c>
      <c r="V6" s="118"/>
    </row>
    <row r="7" spans="1:22">
      <c r="A7" s="104"/>
      <c r="B7" s="116"/>
      <c r="C7" s="104"/>
      <c r="D7" s="117">
        <f t="shared" si="2"/>
        <v>5</v>
      </c>
      <c r="E7" s="118"/>
      <c r="F7" s="119" t="s">
        <v>173</v>
      </c>
      <c r="G7" s="120">
        <f>G4/SQRT(G6)</f>
        <v>5.3494548008808032</v>
      </c>
      <c r="H7" s="118"/>
      <c r="I7" s="89" t="s">
        <v>174</v>
      </c>
      <c r="J7" s="121">
        <f ca="1">AVERAGE(Q2:Q31)</f>
        <v>54.591020734597215</v>
      </c>
      <c r="K7" s="118"/>
      <c r="L7" s="115">
        <f t="shared" ca="1" si="1"/>
        <v>57.440172809240032</v>
      </c>
      <c r="M7" s="115">
        <f t="shared" ca="1" si="0"/>
        <v>61.332334874939988</v>
      </c>
      <c r="N7" s="115">
        <f t="shared" ca="1" si="0"/>
        <v>31.858774107991895</v>
      </c>
      <c r="O7" s="115">
        <f t="shared" ca="1" si="0"/>
        <v>21.722556236299095</v>
      </c>
      <c r="P7" s="115">
        <f t="shared" ca="1" si="0"/>
        <v>76.15646157953887</v>
      </c>
      <c r="Q7" s="115">
        <f t="shared" ca="1" si="0"/>
        <v>13.511860541583564</v>
      </c>
      <c r="R7" s="115">
        <f t="shared" ca="1" si="0"/>
        <v>16.706530180855694</v>
      </c>
      <c r="S7" s="115">
        <f t="shared" ca="1" si="0"/>
        <v>56.02005053044762</v>
      </c>
      <c r="T7" s="115">
        <f t="shared" ca="1" si="0"/>
        <v>88.517027381747596</v>
      </c>
      <c r="U7" s="115">
        <f t="shared" ca="1" si="0"/>
        <v>73.602536350868931</v>
      </c>
      <c r="V7" s="118"/>
    </row>
    <row r="8" spans="1:22">
      <c r="A8" s="104"/>
      <c r="B8" s="116"/>
      <c r="C8" s="104"/>
      <c r="D8" s="117">
        <f t="shared" si="2"/>
        <v>6</v>
      </c>
      <c r="E8" s="118"/>
      <c r="F8" s="119" t="s">
        <v>175</v>
      </c>
      <c r="G8" s="120">
        <f>G3+2*G7</f>
        <v>60.698909601761606</v>
      </c>
      <c r="H8" s="118"/>
      <c r="I8" s="89" t="s">
        <v>176</v>
      </c>
      <c r="J8" s="121">
        <f ca="1">AVERAGE(R2:R31)</f>
        <v>37.249605612156905</v>
      </c>
      <c r="K8" s="118"/>
      <c r="L8" s="115">
        <f t="shared" ca="1" si="1"/>
        <v>89.226292894384557</v>
      </c>
      <c r="M8" s="115">
        <f t="shared" ca="1" si="0"/>
        <v>37.992242302169956</v>
      </c>
      <c r="N8" s="115">
        <f t="shared" ca="1" si="0"/>
        <v>20.674828069147033</v>
      </c>
      <c r="O8" s="115">
        <f t="shared" ca="1" si="0"/>
        <v>98.113669002681945</v>
      </c>
      <c r="P8" s="115">
        <f t="shared" ca="1" si="0"/>
        <v>40.914728155664946</v>
      </c>
      <c r="Q8" s="115">
        <f t="shared" ca="1" si="0"/>
        <v>76.845568178229641</v>
      </c>
      <c r="R8" s="115">
        <f t="shared" ca="1" si="0"/>
        <v>61.776129640912693</v>
      </c>
      <c r="S8" s="115">
        <f t="shared" ca="1" si="0"/>
        <v>80.508695916290094</v>
      </c>
      <c r="T8" s="115">
        <f t="shared" ca="1" si="0"/>
        <v>34.045623344375699</v>
      </c>
      <c r="U8" s="115">
        <f t="shared" ca="1" si="0"/>
        <v>61.114807600125708</v>
      </c>
      <c r="V8" s="118"/>
    </row>
    <row r="9" spans="1:22" ht="14.65" thickBot="1">
      <c r="A9" s="104"/>
      <c r="B9" s="25"/>
      <c r="C9" s="104"/>
      <c r="D9" s="117">
        <f t="shared" si="2"/>
        <v>7</v>
      </c>
      <c r="E9" s="118"/>
      <c r="F9" s="122" t="s">
        <v>177</v>
      </c>
      <c r="G9" s="123">
        <f>G3-2*G7</f>
        <v>39.301090398238394</v>
      </c>
      <c r="H9" s="118"/>
      <c r="I9" s="89" t="s">
        <v>178</v>
      </c>
      <c r="J9" s="121">
        <f ca="1">AVERAGE(S2:S31)</f>
        <v>62.654308111319416</v>
      </c>
      <c r="K9" s="118"/>
      <c r="L9" s="115">
        <f t="shared" ca="1" si="1"/>
        <v>53.856067400029126</v>
      </c>
      <c r="M9" s="115">
        <f t="shared" ca="1" si="0"/>
        <v>18.563981396046223</v>
      </c>
      <c r="N9" s="115">
        <f t="shared" ca="1" si="0"/>
        <v>83.319893419215191</v>
      </c>
      <c r="O9" s="115">
        <f t="shared" ca="1" si="0"/>
        <v>66.738376120742657</v>
      </c>
      <c r="P9" s="115">
        <f t="shared" ca="1" si="0"/>
        <v>71.198680861096747</v>
      </c>
      <c r="Q9" s="115">
        <f t="shared" ca="1" si="0"/>
        <v>89.821537195452379</v>
      </c>
      <c r="R9" s="115">
        <f t="shared" ca="1" si="0"/>
        <v>22.375964362101421</v>
      </c>
      <c r="S9" s="115">
        <f t="shared" ca="1" si="0"/>
        <v>5.6521774398264224</v>
      </c>
      <c r="T9" s="115">
        <f t="shared" ca="1" si="0"/>
        <v>20.78730188031982</v>
      </c>
      <c r="U9" s="115">
        <f t="shared" ca="1" si="0"/>
        <v>50.207865582648012</v>
      </c>
      <c r="V9" s="118"/>
    </row>
    <row r="10" spans="1:22" ht="14.65" thickBot="1">
      <c r="A10" s="104"/>
      <c r="B10" s="104"/>
      <c r="C10" s="104"/>
      <c r="D10" s="117">
        <f t="shared" si="2"/>
        <v>8</v>
      </c>
      <c r="E10" s="118"/>
      <c r="F10" s="104"/>
      <c r="G10" s="124"/>
      <c r="H10" s="118"/>
      <c r="I10" s="89" t="s">
        <v>179</v>
      </c>
      <c r="J10" s="121">
        <f ca="1">AVERAGE(T2:T31)</f>
        <v>55.950170385238032</v>
      </c>
      <c r="K10" s="118"/>
      <c r="L10" s="115">
        <f t="shared" ca="1" si="1"/>
        <v>27.965092045519459</v>
      </c>
      <c r="M10" s="115">
        <f t="shared" ca="1" si="0"/>
        <v>20.463068818765095</v>
      </c>
      <c r="N10" s="115">
        <f t="shared" ca="1" si="0"/>
        <v>50.151902912171224</v>
      </c>
      <c r="O10" s="115">
        <f t="shared" ca="1" si="0"/>
        <v>6.7525620307940404</v>
      </c>
      <c r="P10" s="115">
        <f t="shared" ca="1" si="0"/>
        <v>85.622789852749506</v>
      </c>
      <c r="Q10" s="115">
        <f t="shared" ca="1" si="0"/>
        <v>57.525695757544838</v>
      </c>
      <c r="R10" s="115">
        <f t="shared" ca="1" si="0"/>
        <v>12.988517812822442</v>
      </c>
      <c r="S10" s="115">
        <f t="shared" ca="1" si="0"/>
        <v>79.230545775192567</v>
      </c>
      <c r="T10" s="115">
        <f t="shared" ca="1" si="0"/>
        <v>14.576874470222235</v>
      </c>
      <c r="U10" s="115">
        <f t="shared" ca="1" si="0"/>
        <v>17.445876770917902</v>
      </c>
      <c r="V10" s="118"/>
    </row>
    <row r="11" spans="1:22" ht="14.65" thickBot="1">
      <c r="A11" s="104"/>
      <c r="B11" s="125" t="s">
        <v>180</v>
      </c>
      <c r="C11" s="104"/>
      <c r="D11" s="117">
        <f t="shared" si="2"/>
        <v>9</v>
      </c>
      <c r="E11" s="118"/>
      <c r="F11" s="104"/>
      <c r="G11" s="124"/>
      <c r="H11" s="118"/>
      <c r="I11" s="90" t="s">
        <v>181</v>
      </c>
      <c r="J11" s="126">
        <f ca="1">AVERAGE(U2:U31)</f>
        <v>50.924468441722986</v>
      </c>
      <c r="K11" s="118"/>
      <c r="L11" s="115">
        <f t="shared" ca="1" si="1"/>
        <v>36.787405204454394</v>
      </c>
      <c r="M11" s="115">
        <f t="shared" ca="1" si="0"/>
        <v>4.9066988098250945</v>
      </c>
      <c r="N11" s="115">
        <f t="shared" ca="1" si="0"/>
        <v>1.9728397873111314</v>
      </c>
      <c r="O11" s="115">
        <f t="shared" ca="1" si="0"/>
        <v>17.936480011016599</v>
      </c>
      <c r="P11" s="115">
        <f t="shared" ca="1" si="0"/>
        <v>14.307180448183654</v>
      </c>
      <c r="Q11" s="115">
        <f t="shared" ca="1" si="0"/>
        <v>91.615047763420037</v>
      </c>
      <c r="R11" s="115">
        <f t="shared" ca="1" si="0"/>
        <v>42.696692700017657</v>
      </c>
      <c r="S11" s="115">
        <f t="shared" ca="1" si="0"/>
        <v>95.514717026843201</v>
      </c>
      <c r="T11" s="115">
        <f t="shared" ca="1" si="0"/>
        <v>61.192102163138514</v>
      </c>
      <c r="U11" s="115">
        <f t="shared" ca="1" si="0"/>
        <v>67.200388408839743</v>
      </c>
      <c r="V11" s="118"/>
    </row>
    <row r="12" spans="1:22" ht="14.65" thickBot="1">
      <c r="A12" s="104"/>
      <c r="B12" s="24"/>
      <c r="C12" s="104"/>
      <c r="D12" s="117">
        <f t="shared" si="2"/>
        <v>10</v>
      </c>
      <c r="E12" s="104"/>
      <c r="F12" s="278">
        <v>9</v>
      </c>
      <c r="G12" s="124"/>
      <c r="H12" s="104"/>
      <c r="I12" s="104"/>
      <c r="J12" s="127"/>
      <c r="K12" s="104"/>
      <c r="L12" s="115">
        <f t="shared" ca="1" si="1"/>
        <v>98.524095195047224</v>
      </c>
      <c r="M12" s="115">
        <f t="shared" ca="1" si="0"/>
        <v>24.504767184826736</v>
      </c>
      <c r="N12" s="115">
        <f t="shared" ca="1" si="0"/>
        <v>81.640867507633317</v>
      </c>
      <c r="O12" s="115">
        <f t="shared" ca="1" si="0"/>
        <v>85.281004305141664</v>
      </c>
      <c r="P12" s="115">
        <f t="shared" ca="1" si="0"/>
        <v>10.899026778721687</v>
      </c>
      <c r="Q12" s="115">
        <f t="shared" ca="1" si="0"/>
        <v>22.502055005754883</v>
      </c>
      <c r="R12" s="115">
        <f t="shared" ca="1" si="0"/>
        <v>26.288755826500076</v>
      </c>
      <c r="S12" s="115">
        <f t="shared" ca="1" si="0"/>
        <v>72.423524621600251</v>
      </c>
      <c r="T12" s="115">
        <f t="shared" ca="1" si="0"/>
        <v>39.967551302379199</v>
      </c>
      <c r="U12" s="115">
        <f t="shared" ca="1" si="0"/>
        <v>32.774384897530737</v>
      </c>
      <c r="V12" s="104"/>
    </row>
    <row r="13" spans="1:22">
      <c r="A13" s="104"/>
      <c r="B13" s="116"/>
      <c r="C13" s="104"/>
      <c r="D13" s="117">
        <f t="shared" si="2"/>
        <v>11</v>
      </c>
      <c r="E13" s="118"/>
      <c r="F13" s="104"/>
      <c r="G13" s="124"/>
      <c r="H13" s="118"/>
      <c r="I13" s="113" t="s">
        <v>166</v>
      </c>
      <c r="J13" s="128">
        <f ca="1">AVERAGE(J2:J11)</f>
        <v>52.344856350870273</v>
      </c>
      <c r="K13" s="118"/>
      <c r="L13" s="115">
        <f t="shared" ca="1" si="1"/>
        <v>38.033516072778752</v>
      </c>
      <c r="M13" s="115">
        <f t="shared" ca="1" si="0"/>
        <v>87.68695778200582</v>
      </c>
      <c r="N13" s="115">
        <f t="shared" ca="1" si="0"/>
        <v>53.770432055672465</v>
      </c>
      <c r="O13" s="115">
        <f t="shared" ca="1" si="0"/>
        <v>16.597630431840336</v>
      </c>
      <c r="P13" s="115">
        <f t="shared" ca="1" si="0"/>
        <v>50.005930248592755</v>
      </c>
      <c r="Q13" s="115">
        <f t="shared" ca="1" si="0"/>
        <v>24.532865776593805</v>
      </c>
      <c r="R13" s="115">
        <f t="shared" ca="1" si="0"/>
        <v>37.773545541188177</v>
      </c>
      <c r="S13" s="115">
        <f t="shared" ca="1" si="0"/>
        <v>36.991118093103914</v>
      </c>
      <c r="T13" s="115">
        <f t="shared" ca="1" si="0"/>
        <v>2.5221771265054982</v>
      </c>
      <c r="U13" s="115">
        <f t="shared" ca="1" si="0"/>
        <v>27.788999285814143</v>
      </c>
      <c r="V13" s="118"/>
    </row>
    <row r="14" spans="1:22" ht="14.65" thickBot="1">
      <c r="A14" s="104"/>
      <c r="B14" s="116"/>
      <c r="C14" s="104"/>
      <c r="D14" s="117">
        <f t="shared" si="2"/>
        <v>12</v>
      </c>
      <c r="E14" s="111"/>
      <c r="F14" s="104"/>
      <c r="G14" s="124"/>
      <c r="H14" s="111"/>
      <c r="I14" s="129" t="s">
        <v>173</v>
      </c>
      <c r="J14" s="123">
        <f ca="1">_xlfn.STDEV.S(J2:J11)</f>
        <v>6.83537984245869</v>
      </c>
      <c r="K14" s="111"/>
      <c r="L14" s="115">
        <f t="shared" ca="1" si="1"/>
        <v>82.202795806048854</v>
      </c>
      <c r="M14" s="115">
        <f t="shared" ca="1" si="0"/>
        <v>50.500151034089249</v>
      </c>
      <c r="N14" s="115">
        <f t="shared" ca="1" si="0"/>
        <v>35.612597768858144</v>
      </c>
      <c r="O14" s="115">
        <f t="shared" ca="1" si="0"/>
        <v>88.765182823519325</v>
      </c>
      <c r="P14" s="115">
        <f t="shared" ca="1" si="0"/>
        <v>26.321283348547698</v>
      </c>
      <c r="Q14" s="115">
        <f t="shared" ca="1" si="0"/>
        <v>34.594738641633896</v>
      </c>
      <c r="R14" s="115">
        <f t="shared" ca="1" si="0"/>
        <v>9.9229964377010589</v>
      </c>
      <c r="S14" s="115">
        <f t="shared" ca="1" si="0"/>
        <v>35.587587170044813</v>
      </c>
      <c r="T14" s="115">
        <f t="shared" ca="1" si="0"/>
        <v>92.9146336601261</v>
      </c>
      <c r="U14" s="115">
        <f t="shared" ca="1" si="0"/>
        <v>5.7981795666393161</v>
      </c>
      <c r="V14" s="111"/>
    </row>
    <row r="15" spans="1:22">
      <c r="A15" s="104"/>
      <c r="B15" s="116"/>
      <c r="C15" s="104"/>
      <c r="D15" s="117">
        <f t="shared" si="2"/>
        <v>13</v>
      </c>
      <c r="E15" s="104"/>
      <c r="F15" s="104"/>
      <c r="G15" s="124"/>
      <c r="H15" s="104"/>
      <c r="I15" s="104"/>
      <c r="J15" s="124"/>
      <c r="K15" s="104"/>
      <c r="L15" s="115">
        <f t="shared" ca="1" si="1"/>
        <v>21.192320167124191</v>
      </c>
      <c r="M15" s="115">
        <f t="shared" ca="1" si="0"/>
        <v>61.487284251818167</v>
      </c>
      <c r="N15" s="115">
        <f t="shared" ca="1" si="0"/>
        <v>85.190352543771326</v>
      </c>
      <c r="O15" s="115">
        <f t="shared" ca="1" si="0"/>
        <v>38.133871185028653</v>
      </c>
      <c r="P15" s="115">
        <f t="shared" ca="1" si="0"/>
        <v>71.91522212280222</v>
      </c>
      <c r="Q15" s="115">
        <f t="shared" ca="1" si="0"/>
        <v>80.698203594602319</v>
      </c>
      <c r="R15" s="115">
        <f t="shared" ca="1" si="0"/>
        <v>37.455381718906409</v>
      </c>
      <c r="S15" s="115">
        <f t="shared" ca="1" si="0"/>
        <v>70.559939255366771</v>
      </c>
      <c r="T15" s="115">
        <f t="shared" ca="1" si="0"/>
        <v>11.843474153561463</v>
      </c>
      <c r="U15" s="115">
        <f t="shared" ca="1" si="0"/>
        <v>40.144011134841186</v>
      </c>
      <c r="V15" s="104"/>
    </row>
    <row r="16" spans="1:22">
      <c r="A16" s="104"/>
      <c r="B16" s="116"/>
      <c r="C16" s="104"/>
      <c r="D16" s="117">
        <f t="shared" si="2"/>
        <v>14</v>
      </c>
      <c r="E16" s="279"/>
      <c r="F16" s="279" t="s">
        <v>413</v>
      </c>
      <c r="G16" s="279"/>
      <c r="H16" s="279"/>
      <c r="I16" s="279"/>
      <c r="J16" s="279"/>
      <c r="K16" s="104"/>
      <c r="L16" s="115">
        <f t="shared" ca="1" si="1"/>
        <v>98.633252058790006</v>
      </c>
      <c r="M16" s="115">
        <f t="shared" ca="1" si="0"/>
        <v>20.528695448974677</v>
      </c>
      <c r="N16" s="115">
        <f t="shared" ca="1" si="0"/>
        <v>29.878565261040148</v>
      </c>
      <c r="O16" s="115">
        <f t="shared" ca="1" si="0"/>
        <v>34.152696928524108</v>
      </c>
      <c r="P16" s="115">
        <f t="shared" ca="1" si="0"/>
        <v>90.569874896212596</v>
      </c>
      <c r="Q16" s="115">
        <f t="shared" ca="1" si="0"/>
        <v>65.412948847033832</v>
      </c>
      <c r="R16" s="115">
        <f t="shared" ca="1" si="0"/>
        <v>53.46956484398396</v>
      </c>
      <c r="S16" s="115">
        <f t="shared" ca="1" si="0"/>
        <v>91.436951856157322</v>
      </c>
      <c r="T16" s="115">
        <f t="shared" ca="1" si="0"/>
        <v>74.013918834560627</v>
      </c>
      <c r="U16" s="115">
        <f t="shared" ca="1" si="0"/>
        <v>53.618500267240101</v>
      </c>
      <c r="V16" s="104"/>
    </row>
    <row r="17" spans="1:22">
      <c r="A17" s="104"/>
      <c r="B17" s="116"/>
      <c r="C17" s="104"/>
      <c r="D17" s="117">
        <f t="shared" si="2"/>
        <v>15</v>
      </c>
      <c r="E17" s="279"/>
      <c r="F17" s="279" t="s">
        <v>414</v>
      </c>
      <c r="G17" s="279"/>
      <c r="H17" s="279"/>
      <c r="I17" s="279"/>
      <c r="J17" s="279"/>
      <c r="K17" s="104"/>
      <c r="L17" s="115">
        <f t="shared" ca="1" si="1"/>
        <v>96.6713918684286</v>
      </c>
      <c r="M17" s="115">
        <f t="shared" ca="1" si="0"/>
        <v>10.975835464118655</v>
      </c>
      <c r="N17" s="115">
        <f t="shared" ca="1" si="0"/>
        <v>10.913239915579142</v>
      </c>
      <c r="O17" s="115">
        <f t="shared" ca="1" si="0"/>
        <v>79.022569427500343</v>
      </c>
      <c r="P17" s="115">
        <f t="shared" ca="1" si="0"/>
        <v>83.812632483288169</v>
      </c>
      <c r="Q17" s="115">
        <f t="shared" ca="1" si="0"/>
        <v>44.874774577337604</v>
      </c>
      <c r="R17" s="115">
        <f t="shared" ca="1" si="0"/>
        <v>28.525032455348999</v>
      </c>
      <c r="S17" s="115">
        <f t="shared" ca="1" si="0"/>
        <v>71.998003798164518</v>
      </c>
      <c r="T17" s="115">
        <f t="shared" ca="1" si="0"/>
        <v>68.198953415874669</v>
      </c>
      <c r="U17" s="115">
        <f t="shared" ca="1" si="0"/>
        <v>58.180534637030213</v>
      </c>
      <c r="V17" s="104"/>
    </row>
    <row r="18" spans="1:22">
      <c r="A18" s="104"/>
      <c r="B18" s="116"/>
      <c r="C18" s="104"/>
      <c r="D18" s="117">
        <f t="shared" si="2"/>
        <v>16</v>
      </c>
      <c r="E18" s="279"/>
      <c r="F18" s="279" t="s">
        <v>415</v>
      </c>
      <c r="G18" s="279"/>
      <c r="H18" s="279"/>
      <c r="I18" s="279"/>
      <c r="J18" s="279"/>
      <c r="K18" s="104"/>
      <c r="L18" s="115">
        <f t="shared" ca="1" si="1"/>
        <v>49.982221247461837</v>
      </c>
      <c r="M18" s="115">
        <f t="shared" ca="1" si="1"/>
        <v>72.097739496616242</v>
      </c>
      <c r="N18" s="115">
        <f t="shared" ca="1" si="1"/>
        <v>32.308982989608161</v>
      </c>
      <c r="O18" s="115">
        <f t="shared" ca="1" si="1"/>
        <v>11.032423666984492</v>
      </c>
      <c r="P18" s="115">
        <f t="shared" ca="1" si="1"/>
        <v>18.755482238244049</v>
      </c>
      <c r="Q18" s="115">
        <f t="shared" ca="1" si="1"/>
        <v>33.901964485501878</v>
      </c>
      <c r="R18" s="115">
        <f t="shared" ca="1" si="1"/>
        <v>22.734262036920917</v>
      </c>
      <c r="S18" s="115">
        <f t="shared" ca="1" si="1"/>
        <v>37.227048279704931</v>
      </c>
      <c r="T18" s="115">
        <f t="shared" ca="1" si="1"/>
        <v>53.49264740241555</v>
      </c>
      <c r="U18" s="115">
        <f t="shared" ca="1" si="1"/>
        <v>76.152414436037247</v>
      </c>
      <c r="V18" s="104"/>
    </row>
    <row r="19" spans="1:22">
      <c r="A19" s="104"/>
      <c r="B19" s="116"/>
      <c r="C19" s="104"/>
      <c r="D19" s="117">
        <f t="shared" si="2"/>
        <v>17</v>
      </c>
      <c r="E19" s="279"/>
      <c r="F19" s="279" t="s">
        <v>416</v>
      </c>
      <c r="G19" s="279"/>
      <c r="H19" s="279"/>
      <c r="I19" s="279"/>
      <c r="J19" s="279"/>
      <c r="K19" s="104"/>
      <c r="L19" s="115">
        <f t="shared" ref="L19:U31" ca="1" si="3">100*RAND()</f>
        <v>96.900359989046464</v>
      </c>
      <c r="M19" s="115">
        <f t="shared" ca="1" si="3"/>
        <v>69.03617739958878</v>
      </c>
      <c r="N19" s="115">
        <f t="shared" ca="1" si="3"/>
        <v>95.357341347972451</v>
      </c>
      <c r="O19" s="115">
        <f t="shared" ca="1" si="3"/>
        <v>50.695690030344366</v>
      </c>
      <c r="P19" s="115">
        <f t="shared" ca="1" si="3"/>
        <v>63.013594311168717</v>
      </c>
      <c r="Q19" s="115">
        <f t="shared" ca="1" si="3"/>
        <v>97.494302687991407</v>
      </c>
      <c r="R19" s="115">
        <f t="shared" ca="1" si="3"/>
        <v>19.290077407145066</v>
      </c>
      <c r="S19" s="115">
        <f t="shared" ca="1" si="3"/>
        <v>33.041216261557274</v>
      </c>
      <c r="T19" s="115">
        <f t="shared" ca="1" si="3"/>
        <v>47.294602172600776</v>
      </c>
      <c r="U19" s="115">
        <f t="shared" ca="1" si="3"/>
        <v>33.194606257467697</v>
      </c>
      <c r="V19" s="104"/>
    </row>
    <row r="20" spans="1:22" ht="14.65" thickBot="1">
      <c r="A20" s="104"/>
      <c r="B20" s="25"/>
      <c r="C20" s="104"/>
      <c r="D20" s="117">
        <f t="shared" si="2"/>
        <v>18</v>
      </c>
      <c r="E20" s="279"/>
      <c r="F20" s="279" t="s">
        <v>418</v>
      </c>
      <c r="G20" s="279"/>
      <c r="H20" s="279"/>
      <c r="I20" s="279"/>
      <c r="J20" s="279"/>
      <c r="K20" s="104"/>
      <c r="L20" s="115">
        <f t="shared" ca="1" si="3"/>
        <v>82.248281961897092</v>
      </c>
      <c r="M20" s="115">
        <f t="shared" ca="1" si="3"/>
        <v>12.269618926159453</v>
      </c>
      <c r="N20" s="115">
        <f t="shared" ca="1" si="3"/>
        <v>75.686037992006916</v>
      </c>
      <c r="O20" s="115">
        <f t="shared" ca="1" si="3"/>
        <v>85.125436681281911</v>
      </c>
      <c r="P20" s="115">
        <f t="shared" ca="1" si="3"/>
        <v>98.535257335746181</v>
      </c>
      <c r="Q20" s="115">
        <f t="shared" ca="1" si="3"/>
        <v>49.677852702980395</v>
      </c>
      <c r="R20" s="115">
        <f t="shared" ca="1" si="3"/>
        <v>72.432483815709332</v>
      </c>
      <c r="S20" s="115">
        <f t="shared" ca="1" si="3"/>
        <v>94.91979468442176</v>
      </c>
      <c r="T20" s="115">
        <f t="shared" ca="1" si="3"/>
        <v>66.864540925118234</v>
      </c>
      <c r="U20" s="115">
        <f t="shared" ca="1" si="3"/>
        <v>39.462629097709154</v>
      </c>
      <c r="V20" s="104"/>
    </row>
    <row r="21" spans="1:22">
      <c r="A21" s="104"/>
      <c r="C21" s="104"/>
      <c r="D21" s="117">
        <f t="shared" si="2"/>
        <v>19</v>
      </c>
      <c r="E21" s="279"/>
      <c r="F21" s="279" t="s">
        <v>417</v>
      </c>
      <c r="G21" s="279"/>
      <c r="H21" s="279"/>
      <c r="I21" s="279"/>
      <c r="J21" s="279"/>
      <c r="K21" s="104"/>
      <c r="L21" s="115">
        <f t="shared" ca="1" si="3"/>
        <v>64.499488588471053</v>
      </c>
      <c r="M21" s="115">
        <f t="shared" ca="1" si="3"/>
        <v>82.486227526085926</v>
      </c>
      <c r="N21" s="115">
        <f t="shared" ca="1" si="3"/>
        <v>91.224922630143695</v>
      </c>
      <c r="O21" s="115">
        <f t="shared" ca="1" si="3"/>
        <v>89.042292703858621</v>
      </c>
      <c r="P21" s="115">
        <f t="shared" ca="1" si="3"/>
        <v>93.338344033944409</v>
      </c>
      <c r="Q21" s="115">
        <f t="shared" ca="1" si="3"/>
        <v>6.527640422446412</v>
      </c>
      <c r="R21" s="115">
        <f t="shared" ca="1" si="3"/>
        <v>6.2045314896528652</v>
      </c>
      <c r="S21" s="115">
        <f t="shared" ca="1" si="3"/>
        <v>82.043238430262576</v>
      </c>
      <c r="T21" s="115">
        <f t="shared" ca="1" si="3"/>
        <v>16.88783467448043</v>
      </c>
      <c r="U21" s="115">
        <f t="shared" ca="1" si="3"/>
        <v>78.89697276957412</v>
      </c>
      <c r="V21" s="104"/>
    </row>
    <row r="22" spans="1:22">
      <c r="A22" s="104"/>
      <c r="C22" s="104"/>
      <c r="D22" s="117">
        <f t="shared" si="2"/>
        <v>20</v>
      </c>
      <c r="K22" s="104"/>
      <c r="L22" s="115">
        <f t="shared" ca="1" si="3"/>
        <v>54.790532261027799</v>
      </c>
      <c r="M22" s="115">
        <f t="shared" ca="1" si="3"/>
        <v>50.13014146042196</v>
      </c>
      <c r="N22" s="115">
        <f t="shared" ca="1" si="3"/>
        <v>0.26590139678674962</v>
      </c>
      <c r="O22" s="115">
        <f t="shared" ca="1" si="3"/>
        <v>38.083178550407482</v>
      </c>
      <c r="P22" s="115">
        <f t="shared" ca="1" si="3"/>
        <v>30.860396011025205</v>
      </c>
      <c r="Q22" s="115">
        <f t="shared" ca="1" si="3"/>
        <v>51.029234386696288</v>
      </c>
      <c r="R22" s="115">
        <f t="shared" ca="1" si="3"/>
        <v>27.516600575074591</v>
      </c>
      <c r="S22" s="115">
        <f t="shared" ca="1" si="3"/>
        <v>46.691572820086627</v>
      </c>
      <c r="T22" s="115">
        <f t="shared" ca="1" si="3"/>
        <v>98.823622555895</v>
      </c>
      <c r="U22" s="115">
        <f t="shared" ca="1" si="3"/>
        <v>81.732800746690529</v>
      </c>
      <c r="V22" s="104"/>
    </row>
    <row r="23" spans="1:22">
      <c r="A23" s="104"/>
      <c r="C23" s="104"/>
      <c r="D23" s="117">
        <f t="shared" si="2"/>
        <v>21</v>
      </c>
      <c r="K23" s="104"/>
      <c r="L23" s="115">
        <f t="shared" ca="1" si="3"/>
        <v>75.907934579934917</v>
      </c>
      <c r="M23" s="115">
        <f t="shared" ca="1" si="3"/>
        <v>3.5065967620297012</v>
      </c>
      <c r="N23" s="115">
        <f t="shared" ca="1" si="3"/>
        <v>73.829265925597412</v>
      </c>
      <c r="O23" s="115">
        <f t="shared" ca="1" si="3"/>
        <v>19.293355914027664</v>
      </c>
      <c r="P23" s="115">
        <f t="shared" ca="1" si="3"/>
        <v>54.251106184877194</v>
      </c>
      <c r="Q23" s="115">
        <f t="shared" ca="1" si="3"/>
        <v>92.624128911521268</v>
      </c>
      <c r="R23" s="115">
        <f t="shared" ca="1" si="3"/>
        <v>0.48195370617120092</v>
      </c>
      <c r="S23" s="115">
        <f t="shared" ca="1" si="3"/>
        <v>27.027522938006655</v>
      </c>
      <c r="T23" s="115">
        <f t="shared" ca="1" si="3"/>
        <v>89.163755461855345</v>
      </c>
      <c r="U23" s="115">
        <f t="shared" ca="1" si="3"/>
        <v>5.5588441818638534</v>
      </c>
      <c r="V23" s="104"/>
    </row>
    <row r="24" spans="1:22">
      <c r="A24" s="104"/>
      <c r="C24" s="104"/>
      <c r="D24" s="117">
        <f t="shared" si="2"/>
        <v>22</v>
      </c>
      <c r="K24" s="104"/>
      <c r="L24" s="115">
        <f t="shared" ca="1" si="3"/>
        <v>35.450995404214481</v>
      </c>
      <c r="M24" s="115">
        <f t="shared" ca="1" si="3"/>
        <v>88.165403594637979</v>
      </c>
      <c r="N24" s="115">
        <f t="shared" ca="1" si="3"/>
        <v>98.162704882920877</v>
      </c>
      <c r="O24" s="115">
        <f t="shared" ca="1" si="3"/>
        <v>76.951328967564251</v>
      </c>
      <c r="P24" s="115">
        <f t="shared" ca="1" si="3"/>
        <v>74.693082557306354</v>
      </c>
      <c r="Q24" s="115">
        <f t="shared" ca="1" si="3"/>
        <v>67.377383843983381</v>
      </c>
      <c r="R24" s="115">
        <f t="shared" ca="1" si="3"/>
        <v>2.5426577326973065</v>
      </c>
      <c r="S24" s="115">
        <f t="shared" ca="1" si="3"/>
        <v>52.870551203721249</v>
      </c>
      <c r="T24" s="115">
        <f t="shared" ca="1" si="3"/>
        <v>91.311308312081735</v>
      </c>
      <c r="U24" s="115">
        <f t="shared" ca="1" si="3"/>
        <v>11.763197189714047</v>
      </c>
      <c r="V24" s="104"/>
    </row>
    <row r="25" spans="1:22">
      <c r="A25" s="104"/>
      <c r="C25" s="104"/>
      <c r="D25" s="117">
        <f t="shared" si="2"/>
        <v>23</v>
      </c>
      <c r="K25" s="104"/>
      <c r="L25" s="115">
        <f t="shared" ca="1" si="3"/>
        <v>27.82163315293792</v>
      </c>
      <c r="M25" s="115">
        <f t="shared" ca="1" si="3"/>
        <v>28.1666641103565</v>
      </c>
      <c r="N25" s="115">
        <f t="shared" ca="1" si="3"/>
        <v>42.766247390990685</v>
      </c>
      <c r="O25" s="115">
        <f t="shared" ca="1" si="3"/>
        <v>46.770577074941357</v>
      </c>
      <c r="P25" s="115">
        <f t="shared" ca="1" si="3"/>
        <v>73.538681228114342</v>
      </c>
      <c r="Q25" s="115">
        <f t="shared" ca="1" si="3"/>
        <v>65.820102465738955</v>
      </c>
      <c r="R25" s="115">
        <f t="shared" ca="1" si="3"/>
        <v>48.445579085701276</v>
      </c>
      <c r="S25" s="115">
        <f t="shared" ca="1" si="3"/>
        <v>84.172888231504288</v>
      </c>
      <c r="T25" s="115">
        <f t="shared" ca="1" si="3"/>
        <v>57.473934253737312</v>
      </c>
      <c r="U25" s="115">
        <f t="shared" ca="1" si="3"/>
        <v>51.325874822099259</v>
      </c>
      <c r="V25" s="104"/>
    </row>
    <row r="26" spans="1:22">
      <c r="A26" s="104"/>
      <c r="C26" s="104"/>
      <c r="D26" s="117">
        <f t="shared" si="2"/>
        <v>24</v>
      </c>
      <c r="K26" s="104"/>
      <c r="L26" s="115">
        <f t="shared" ca="1" si="3"/>
        <v>24.318198640938824</v>
      </c>
      <c r="M26" s="115">
        <f t="shared" ca="1" si="3"/>
        <v>74.089241601737626</v>
      </c>
      <c r="N26" s="115">
        <f t="shared" ca="1" si="3"/>
        <v>7.0951859391799381</v>
      </c>
      <c r="O26" s="115">
        <f t="shared" ca="1" si="3"/>
        <v>70.405892496784588</v>
      </c>
      <c r="P26" s="115">
        <f t="shared" ca="1" si="3"/>
        <v>94.776504435547565</v>
      </c>
      <c r="Q26" s="115">
        <f t="shared" ca="1" si="3"/>
        <v>10.35071955051029</v>
      </c>
      <c r="R26" s="115">
        <f t="shared" ca="1" si="3"/>
        <v>64.747176687358817</v>
      </c>
      <c r="S26" s="115">
        <f t="shared" ca="1" si="3"/>
        <v>64.571707554239055</v>
      </c>
      <c r="T26" s="115">
        <f t="shared" ca="1" si="3"/>
        <v>85.774370891697274</v>
      </c>
      <c r="U26" s="115">
        <f t="shared" ca="1" si="3"/>
        <v>52.435824353570723</v>
      </c>
      <c r="V26" s="104"/>
    </row>
    <row r="27" spans="1:22">
      <c r="A27" s="104"/>
      <c r="C27" s="104"/>
      <c r="D27" s="117">
        <f t="shared" si="2"/>
        <v>25</v>
      </c>
      <c r="K27" s="104"/>
      <c r="L27" s="115">
        <f t="shared" ca="1" si="3"/>
        <v>10.837717980390815</v>
      </c>
      <c r="M27" s="115">
        <f t="shared" ca="1" si="3"/>
        <v>14.5288374845695</v>
      </c>
      <c r="N27" s="115">
        <f t="shared" ca="1" si="3"/>
        <v>99.679008997029612</v>
      </c>
      <c r="O27" s="115">
        <f t="shared" ca="1" si="3"/>
        <v>11.073811100648012</v>
      </c>
      <c r="P27" s="115">
        <f t="shared" ca="1" si="3"/>
        <v>42.067233883563446</v>
      </c>
      <c r="Q27" s="115">
        <f t="shared" ca="1" si="3"/>
        <v>72.924507413157542</v>
      </c>
      <c r="R27" s="115">
        <f t="shared" ca="1" si="3"/>
        <v>69.315512773244109</v>
      </c>
      <c r="S27" s="115">
        <f t="shared" ca="1" si="3"/>
        <v>76.852997665838117</v>
      </c>
      <c r="T27" s="115">
        <f t="shared" ca="1" si="3"/>
        <v>82.708542275608977</v>
      </c>
      <c r="U27" s="115">
        <f t="shared" ca="1" si="3"/>
        <v>35.564195202933021</v>
      </c>
      <c r="V27" s="104"/>
    </row>
    <row r="28" spans="1:22">
      <c r="A28" s="104"/>
      <c r="C28" s="104"/>
      <c r="D28" s="117">
        <f t="shared" si="2"/>
        <v>26</v>
      </c>
      <c r="K28" s="104"/>
      <c r="L28" s="115">
        <f t="shared" ca="1" si="3"/>
        <v>55.777157842222671</v>
      </c>
      <c r="M28" s="115">
        <f t="shared" ca="1" si="3"/>
        <v>51.16108490980271</v>
      </c>
      <c r="N28" s="115">
        <f t="shared" ca="1" si="3"/>
        <v>51.785827668319037</v>
      </c>
      <c r="O28" s="115">
        <f t="shared" ca="1" si="3"/>
        <v>69.288399716480328</v>
      </c>
      <c r="P28" s="115">
        <f t="shared" ca="1" si="3"/>
        <v>48.849738222649208</v>
      </c>
      <c r="Q28" s="115">
        <f t="shared" ca="1" si="3"/>
        <v>55.838309528058396</v>
      </c>
      <c r="R28" s="115">
        <f t="shared" ca="1" si="3"/>
        <v>72.137059531043874</v>
      </c>
      <c r="S28" s="115">
        <f t="shared" ca="1" si="3"/>
        <v>68.086545597436356</v>
      </c>
      <c r="T28" s="115">
        <f t="shared" ca="1" si="3"/>
        <v>4.2491448064778776</v>
      </c>
      <c r="U28" s="115">
        <f t="shared" ca="1" si="3"/>
        <v>15.79932466361047</v>
      </c>
      <c r="V28" s="104"/>
    </row>
    <row r="29" spans="1:22">
      <c r="A29" s="104"/>
      <c r="C29" s="104"/>
      <c r="D29" s="117">
        <f t="shared" si="2"/>
        <v>27</v>
      </c>
      <c r="K29" s="104"/>
      <c r="L29" s="115">
        <f t="shared" ca="1" si="3"/>
        <v>4.374431086158248</v>
      </c>
      <c r="M29" s="115">
        <f t="shared" ca="1" si="3"/>
        <v>7.1066484196050661</v>
      </c>
      <c r="N29" s="115">
        <f t="shared" ca="1" si="3"/>
        <v>81.508037691267091</v>
      </c>
      <c r="O29" s="115">
        <f t="shared" ca="1" si="3"/>
        <v>10.280009594682127</v>
      </c>
      <c r="P29" s="115">
        <f t="shared" ca="1" si="3"/>
        <v>13.852642142100379</v>
      </c>
      <c r="Q29" s="115">
        <f t="shared" ca="1" si="3"/>
        <v>84.462296143559158</v>
      </c>
      <c r="R29" s="115">
        <f t="shared" ca="1" si="3"/>
        <v>72.08188746908499</v>
      </c>
      <c r="S29" s="115">
        <f t="shared" ca="1" si="3"/>
        <v>25.450916553942292</v>
      </c>
      <c r="T29" s="115">
        <f t="shared" ca="1" si="3"/>
        <v>91.606556448904371</v>
      </c>
      <c r="U29" s="115">
        <f t="shared" ca="1" si="3"/>
        <v>72.338287240736989</v>
      </c>
      <c r="V29" s="104"/>
    </row>
    <row r="30" spans="1:22">
      <c r="A30" s="104"/>
      <c r="C30" s="104"/>
      <c r="D30" s="117">
        <f t="shared" si="2"/>
        <v>28</v>
      </c>
      <c r="K30" s="104"/>
      <c r="L30" s="115">
        <f t="shared" ca="1" si="3"/>
        <v>87.411245847941203</v>
      </c>
      <c r="M30" s="115">
        <f t="shared" ca="1" si="3"/>
        <v>32.400686963593664</v>
      </c>
      <c r="N30" s="115">
        <f t="shared" ca="1" si="3"/>
        <v>64.073807870734129</v>
      </c>
      <c r="O30" s="115">
        <f t="shared" ca="1" si="3"/>
        <v>55.441464597771613</v>
      </c>
      <c r="P30" s="115">
        <f t="shared" ca="1" si="3"/>
        <v>10.283498137244806</v>
      </c>
      <c r="Q30" s="115">
        <f t="shared" ca="1" si="3"/>
        <v>91.975827957543615</v>
      </c>
      <c r="R30" s="115">
        <f t="shared" ca="1" si="3"/>
        <v>10.414874814292141</v>
      </c>
      <c r="S30" s="115">
        <f t="shared" ca="1" si="3"/>
        <v>60.346095760296393</v>
      </c>
      <c r="T30" s="115">
        <f t="shared" ca="1" si="3"/>
        <v>7.6565055087572498</v>
      </c>
      <c r="U30" s="115">
        <f t="shared" ca="1" si="3"/>
        <v>93.424015924023962</v>
      </c>
      <c r="V30" s="104"/>
    </row>
    <row r="31" spans="1:22">
      <c r="A31" s="104"/>
      <c r="C31" s="104"/>
      <c r="D31" s="117">
        <f t="shared" si="2"/>
        <v>29</v>
      </c>
      <c r="K31" s="104"/>
      <c r="L31" s="115">
        <f t="shared" ca="1" si="3"/>
        <v>2.8769767295793613</v>
      </c>
      <c r="M31" s="115">
        <f t="shared" ca="1" si="3"/>
        <v>84.485634516710789</v>
      </c>
      <c r="N31" s="115">
        <f t="shared" ca="1" si="3"/>
        <v>37.604763786528792</v>
      </c>
      <c r="O31" s="115">
        <f t="shared" ca="1" si="3"/>
        <v>67.874534694052528</v>
      </c>
      <c r="P31" s="115">
        <f t="shared" ca="1" si="3"/>
        <v>77.320001647390015</v>
      </c>
      <c r="Q31" s="115">
        <f t="shared" ca="1" si="3"/>
        <v>62.238408187991148</v>
      </c>
      <c r="R31" s="115">
        <f t="shared" ca="1" si="3"/>
        <v>85.301216754375659</v>
      </c>
      <c r="S31" s="115">
        <f t="shared" ca="1" si="3"/>
        <v>6.6962437763695704E-2</v>
      </c>
      <c r="T31" s="115">
        <f t="shared" ca="1" si="3"/>
        <v>60.760035617148354</v>
      </c>
      <c r="U31" s="115">
        <f t="shared" ca="1" si="3"/>
        <v>59.884706821928013</v>
      </c>
      <c r="V31" s="104"/>
    </row>
    <row r="32" spans="1:22">
      <c r="A32" s="104"/>
      <c r="C32" s="104"/>
      <c r="D32" s="117">
        <f t="shared" si="2"/>
        <v>30</v>
      </c>
    </row>
    <row r="33" spans="1:4">
      <c r="A33" s="104"/>
      <c r="C33" s="104"/>
      <c r="D33" s="117">
        <f t="shared" si="2"/>
        <v>31</v>
      </c>
    </row>
    <row r="34" spans="1:4">
      <c r="A34" s="104"/>
      <c r="C34" s="104"/>
      <c r="D34" s="117">
        <f t="shared" si="2"/>
        <v>32</v>
      </c>
    </row>
    <row r="35" spans="1:4">
      <c r="A35" s="104"/>
      <c r="C35" s="104"/>
      <c r="D35" s="117">
        <f t="shared" si="2"/>
        <v>33</v>
      </c>
    </row>
    <row r="36" spans="1:4">
      <c r="A36" s="104"/>
      <c r="C36" s="104"/>
      <c r="D36" s="117">
        <f t="shared" si="2"/>
        <v>34</v>
      </c>
    </row>
    <row r="37" spans="1:4">
      <c r="A37" s="104"/>
      <c r="C37" s="104"/>
      <c r="D37" s="117">
        <f t="shared" si="2"/>
        <v>35</v>
      </c>
    </row>
    <row r="38" spans="1:4">
      <c r="A38" s="104"/>
      <c r="C38" s="104"/>
      <c r="D38" s="117">
        <f t="shared" si="2"/>
        <v>36</v>
      </c>
    </row>
    <row r="39" spans="1:4">
      <c r="A39" s="104"/>
      <c r="C39" s="104"/>
      <c r="D39" s="117">
        <f t="shared" si="2"/>
        <v>37</v>
      </c>
    </row>
    <row r="40" spans="1:4">
      <c r="A40" s="104"/>
      <c r="C40" s="104"/>
      <c r="D40" s="117">
        <f t="shared" si="2"/>
        <v>38</v>
      </c>
    </row>
    <row r="41" spans="1:4">
      <c r="A41" s="104"/>
      <c r="C41" s="104"/>
      <c r="D41" s="117">
        <f t="shared" si="2"/>
        <v>39</v>
      </c>
    </row>
    <row r="42" spans="1:4">
      <c r="A42" s="104"/>
      <c r="C42" s="104"/>
      <c r="D42" s="117">
        <f t="shared" si="2"/>
        <v>40</v>
      </c>
    </row>
    <row r="43" spans="1:4">
      <c r="A43" s="104"/>
      <c r="C43" s="104"/>
      <c r="D43" s="117">
        <f t="shared" si="2"/>
        <v>41</v>
      </c>
    </row>
    <row r="44" spans="1:4">
      <c r="A44" s="104"/>
      <c r="C44" s="104"/>
      <c r="D44" s="117">
        <f t="shared" si="2"/>
        <v>42</v>
      </c>
    </row>
    <row r="45" spans="1:4">
      <c r="A45" s="104"/>
      <c r="C45" s="104"/>
      <c r="D45" s="117">
        <f t="shared" si="2"/>
        <v>43</v>
      </c>
    </row>
    <row r="46" spans="1:4">
      <c r="A46" s="104"/>
      <c r="C46" s="104"/>
      <c r="D46" s="117">
        <f t="shared" si="2"/>
        <v>44</v>
      </c>
    </row>
    <row r="47" spans="1:4">
      <c r="A47" s="104"/>
      <c r="C47" s="104"/>
      <c r="D47" s="117">
        <f t="shared" si="2"/>
        <v>45</v>
      </c>
    </row>
    <row r="48" spans="1:4">
      <c r="A48" s="104"/>
      <c r="C48" s="104"/>
      <c r="D48" s="117">
        <f t="shared" si="2"/>
        <v>46</v>
      </c>
    </row>
    <row r="49" spans="1:4">
      <c r="A49" s="104"/>
      <c r="C49" s="104"/>
      <c r="D49" s="117">
        <f t="shared" si="2"/>
        <v>47</v>
      </c>
    </row>
    <row r="50" spans="1:4">
      <c r="A50" s="104"/>
      <c r="C50" s="104"/>
      <c r="D50" s="117">
        <f t="shared" si="2"/>
        <v>48</v>
      </c>
    </row>
    <row r="51" spans="1:4">
      <c r="A51" s="104"/>
      <c r="C51" s="104"/>
      <c r="D51" s="117">
        <f t="shared" si="2"/>
        <v>49</v>
      </c>
    </row>
    <row r="52" spans="1:4">
      <c r="A52" s="104"/>
      <c r="C52" s="104"/>
      <c r="D52" s="117">
        <f t="shared" si="2"/>
        <v>50</v>
      </c>
    </row>
    <row r="53" spans="1:4">
      <c r="A53" s="104"/>
      <c r="C53" s="104"/>
      <c r="D53" s="117">
        <f t="shared" si="2"/>
        <v>51</v>
      </c>
    </row>
    <row r="54" spans="1:4">
      <c r="A54" s="104"/>
      <c r="C54" s="104"/>
      <c r="D54" s="117">
        <f t="shared" si="2"/>
        <v>52</v>
      </c>
    </row>
    <row r="55" spans="1:4">
      <c r="A55" s="104"/>
      <c r="C55" s="104"/>
      <c r="D55" s="117">
        <f t="shared" si="2"/>
        <v>53</v>
      </c>
    </row>
    <row r="56" spans="1:4">
      <c r="A56" s="104"/>
      <c r="C56" s="104"/>
      <c r="D56" s="117">
        <f t="shared" si="2"/>
        <v>54</v>
      </c>
    </row>
    <row r="57" spans="1:4">
      <c r="A57" s="104"/>
      <c r="C57" s="104"/>
      <c r="D57" s="117">
        <f t="shared" si="2"/>
        <v>55</v>
      </c>
    </row>
    <row r="58" spans="1:4">
      <c r="A58" s="104"/>
      <c r="C58" s="104"/>
      <c r="D58" s="117">
        <f t="shared" si="2"/>
        <v>56</v>
      </c>
    </row>
    <row r="59" spans="1:4">
      <c r="A59" s="104"/>
      <c r="C59" s="104"/>
      <c r="D59" s="117">
        <f t="shared" si="2"/>
        <v>57</v>
      </c>
    </row>
    <row r="60" spans="1:4">
      <c r="A60" s="104"/>
      <c r="C60" s="104"/>
      <c r="D60" s="117">
        <f t="shared" si="2"/>
        <v>58</v>
      </c>
    </row>
    <row r="61" spans="1:4">
      <c r="A61" s="104"/>
      <c r="C61" s="104"/>
      <c r="D61" s="117">
        <f t="shared" si="2"/>
        <v>59</v>
      </c>
    </row>
    <row r="62" spans="1:4">
      <c r="A62" s="104"/>
      <c r="C62" s="104"/>
      <c r="D62" s="117">
        <f t="shared" si="2"/>
        <v>60</v>
      </c>
    </row>
    <row r="63" spans="1:4">
      <c r="A63" s="104"/>
      <c r="C63" s="104"/>
      <c r="D63" s="117">
        <f t="shared" si="2"/>
        <v>61</v>
      </c>
    </row>
    <row r="64" spans="1:4">
      <c r="A64" s="104"/>
      <c r="C64" s="104"/>
      <c r="D64" s="117">
        <f t="shared" si="2"/>
        <v>62</v>
      </c>
    </row>
    <row r="65" spans="1:4">
      <c r="A65" s="104"/>
      <c r="C65" s="104"/>
      <c r="D65" s="117">
        <f t="shared" si="2"/>
        <v>63</v>
      </c>
    </row>
    <row r="66" spans="1:4">
      <c r="A66" s="104"/>
      <c r="C66" s="104"/>
      <c r="D66" s="117">
        <f t="shared" si="2"/>
        <v>64</v>
      </c>
    </row>
    <row r="67" spans="1:4">
      <c r="A67" s="104"/>
      <c r="C67" s="104"/>
      <c r="D67" s="117">
        <f t="shared" si="2"/>
        <v>65</v>
      </c>
    </row>
    <row r="68" spans="1:4">
      <c r="A68" s="104"/>
      <c r="C68" s="104"/>
      <c r="D68" s="117">
        <f t="shared" si="2"/>
        <v>66</v>
      </c>
    </row>
    <row r="69" spans="1:4">
      <c r="A69" s="104"/>
      <c r="C69" s="104"/>
      <c r="D69" s="117">
        <f t="shared" ref="D69:D102" si="4">1+D68</f>
        <v>67</v>
      </c>
    </row>
    <row r="70" spans="1:4">
      <c r="A70" s="104"/>
      <c r="C70" s="104"/>
      <c r="D70" s="117">
        <f t="shared" si="4"/>
        <v>68</v>
      </c>
    </row>
    <row r="71" spans="1:4">
      <c r="A71" s="104"/>
      <c r="C71" s="104"/>
      <c r="D71" s="117">
        <f t="shared" si="4"/>
        <v>69</v>
      </c>
    </row>
    <row r="72" spans="1:4">
      <c r="A72" s="104"/>
      <c r="C72" s="104"/>
      <c r="D72" s="117">
        <f t="shared" si="4"/>
        <v>70</v>
      </c>
    </row>
    <row r="73" spans="1:4">
      <c r="A73" s="104"/>
      <c r="C73" s="104"/>
      <c r="D73" s="117">
        <f t="shared" si="4"/>
        <v>71</v>
      </c>
    </row>
    <row r="74" spans="1:4">
      <c r="A74" s="104"/>
      <c r="C74" s="104"/>
      <c r="D74" s="117">
        <f t="shared" si="4"/>
        <v>72</v>
      </c>
    </row>
    <row r="75" spans="1:4">
      <c r="A75" s="104"/>
      <c r="C75" s="104"/>
      <c r="D75" s="117">
        <f t="shared" si="4"/>
        <v>73</v>
      </c>
    </row>
    <row r="76" spans="1:4">
      <c r="A76" s="104"/>
      <c r="C76" s="104"/>
      <c r="D76" s="117">
        <f t="shared" si="4"/>
        <v>74</v>
      </c>
    </row>
    <row r="77" spans="1:4">
      <c r="A77" s="104"/>
      <c r="C77" s="104"/>
      <c r="D77" s="117">
        <f t="shared" si="4"/>
        <v>75</v>
      </c>
    </row>
    <row r="78" spans="1:4">
      <c r="A78" s="104"/>
      <c r="C78" s="104"/>
      <c r="D78" s="117">
        <f t="shared" si="4"/>
        <v>76</v>
      </c>
    </row>
    <row r="79" spans="1:4">
      <c r="A79" s="104"/>
      <c r="C79" s="104"/>
      <c r="D79" s="117">
        <f t="shared" si="4"/>
        <v>77</v>
      </c>
    </row>
    <row r="80" spans="1:4">
      <c r="A80" s="104"/>
      <c r="C80" s="104"/>
      <c r="D80" s="117">
        <f t="shared" si="4"/>
        <v>78</v>
      </c>
    </row>
    <row r="81" spans="1:4">
      <c r="A81" s="104"/>
      <c r="C81" s="104"/>
      <c r="D81" s="117">
        <f t="shared" si="4"/>
        <v>79</v>
      </c>
    </row>
    <row r="82" spans="1:4">
      <c r="A82" s="104"/>
      <c r="C82" s="104"/>
      <c r="D82" s="117">
        <f t="shared" si="4"/>
        <v>80</v>
      </c>
    </row>
    <row r="83" spans="1:4">
      <c r="A83" s="104"/>
      <c r="C83" s="104"/>
      <c r="D83" s="117">
        <f t="shared" si="4"/>
        <v>81</v>
      </c>
    </row>
    <row r="84" spans="1:4">
      <c r="A84" s="104"/>
      <c r="C84" s="104"/>
      <c r="D84" s="117">
        <f t="shared" si="4"/>
        <v>82</v>
      </c>
    </row>
    <row r="85" spans="1:4">
      <c r="A85" s="104"/>
      <c r="C85" s="104"/>
      <c r="D85" s="117">
        <f t="shared" si="4"/>
        <v>83</v>
      </c>
    </row>
    <row r="86" spans="1:4">
      <c r="A86" s="104"/>
      <c r="C86" s="104"/>
      <c r="D86" s="117">
        <f t="shared" si="4"/>
        <v>84</v>
      </c>
    </row>
    <row r="87" spans="1:4">
      <c r="A87" s="104"/>
      <c r="C87" s="104"/>
      <c r="D87" s="117">
        <f t="shared" si="4"/>
        <v>85</v>
      </c>
    </row>
    <row r="88" spans="1:4">
      <c r="A88" s="104"/>
      <c r="C88" s="104"/>
      <c r="D88" s="117">
        <f t="shared" si="4"/>
        <v>86</v>
      </c>
    </row>
    <row r="89" spans="1:4">
      <c r="A89" s="104"/>
      <c r="C89" s="104"/>
      <c r="D89" s="117">
        <f t="shared" si="4"/>
        <v>87</v>
      </c>
    </row>
    <row r="90" spans="1:4">
      <c r="A90" s="104"/>
      <c r="C90" s="104"/>
      <c r="D90" s="117">
        <f t="shared" si="4"/>
        <v>88</v>
      </c>
    </row>
    <row r="91" spans="1:4">
      <c r="A91" s="104"/>
      <c r="C91" s="104"/>
      <c r="D91" s="117">
        <f t="shared" si="4"/>
        <v>89</v>
      </c>
    </row>
    <row r="92" spans="1:4">
      <c r="A92" s="104"/>
      <c r="C92" s="104"/>
      <c r="D92" s="117">
        <f t="shared" si="4"/>
        <v>90</v>
      </c>
    </row>
    <row r="93" spans="1:4">
      <c r="A93" s="104"/>
      <c r="C93" s="104"/>
      <c r="D93" s="117">
        <f t="shared" si="4"/>
        <v>91</v>
      </c>
    </row>
    <row r="94" spans="1:4">
      <c r="A94" s="104"/>
      <c r="C94" s="104"/>
      <c r="D94" s="117">
        <f t="shared" si="4"/>
        <v>92</v>
      </c>
    </row>
    <row r="95" spans="1:4">
      <c r="A95" s="104"/>
      <c r="C95" s="104"/>
      <c r="D95" s="117">
        <f t="shared" si="4"/>
        <v>93</v>
      </c>
    </row>
    <row r="96" spans="1:4">
      <c r="A96" s="104"/>
      <c r="C96" s="104"/>
      <c r="D96" s="117">
        <f t="shared" si="4"/>
        <v>94</v>
      </c>
    </row>
    <row r="97" spans="1:4">
      <c r="A97" s="104"/>
      <c r="C97" s="104"/>
      <c r="D97" s="117">
        <f t="shared" si="4"/>
        <v>95</v>
      </c>
    </row>
    <row r="98" spans="1:4">
      <c r="A98" s="104"/>
      <c r="C98" s="104"/>
      <c r="D98" s="117">
        <f t="shared" si="4"/>
        <v>96</v>
      </c>
    </row>
    <row r="99" spans="1:4">
      <c r="A99" s="104"/>
      <c r="C99" s="104"/>
      <c r="D99" s="117">
        <f t="shared" si="4"/>
        <v>97</v>
      </c>
    </row>
    <row r="100" spans="1:4">
      <c r="A100" s="104"/>
      <c r="C100" s="104"/>
      <c r="D100" s="117">
        <f t="shared" si="4"/>
        <v>98</v>
      </c>
    </row>
    <row r="101" spans="1:4">
      <c r="A101" s="104"/>
      <c r="C101" s="104"/>
      <c r="D101" s="117">
        <f t="shared" si="4"/>
        <v>99</v>
      </c>
    </row>
    <row r="102" spans="1:4">
      <c r="A102" s="104"/>
      <c r="C102" s="104"/>
      <c r="D102" s="117">
        <f t="shared" si="4"/>
        <v>100</v>
      </c>
    </row>
  </sheetData>
  <mergeCells count="3">
    <mergeCell ref="F1:G1"/>
    <mergeCell ref="I1:J1"/>
    <mergeCell ref="F5:G5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3F9-357C-4A9A-80E6-24771C0AEAD7}">
  <dimension ref="A1:AK30"/>
  <sheetViews>
    <sheetView workbookViewId="0">
      <selection activeCell="AB6" sqref="AB6"/>
    </sheetView>
  </sheetViews>
  <sheetFormatPr defaultRowHeight="14.25"/>
  <cols>
    <col min="2" max="2" width="4.33203125" customWidth="1"/>
    <col min="3" max="20" width="3.53125" style="19" customWidth="1"/>
    <col min="21" max="24" width="3.53125" customWidth="1"/>
    <col min="25" max="25" width="6.46484375" bestFit="1" customWidth="1"/>
  </cols>
  <sheetData>
    <row r="1" spans="1:33" ht="14.65" thickBot="1">
      <c r="A1" s="131"/>
      <c r="B1" s="131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</row>
    <row r="2" spans="1:33">
      <c r="A2" s="131"/>
      <c r="B2" s="299" t="s">
        <v>185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1"/>
      <c r="Z2" s="131"/>
      <c r="AA2" s="131"/>
      <c r="AB2" s="131"/>
      <c r="AC2" s="131"/>
      <c r="AD2" s="131"/>
      <c r="AE2" s="131"/>
      <c r="AF2" s="131"/>
      <c r="AG2" s="131"/>
    </row>
    <row r="3" spans="1:33" ht="14.65" thickBot="1">
      <c r="A3" s="13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4"/>
      <c r="Z3" s="131"/>
      <c r="AA3" s="131"/>
      <c r="AB3" s="131"/>
      <c r="AC3" s="131"/>
      <c r="AD3" s="131"/>
      <c r="AE3" s="131"/>
      <c r="AF3" s="131"/>
      <c r="AG3" s="131"/>
    </row>
    <row r="4" spans="1:33">
      <c r="A4" s="131"/>
      <c r="B4" s="9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92"/>
      <c r="V4" s="92"/>
      <c r="W4" s="92"/>
      <c r="X4" s="92"/>
      <c r="Y4" s="93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/>
      <c r="B5" s="9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95"/>
      <c r="V5" s="95"/>
      <c r="W5" s="95"/>
      <c r="X5" s="95"/>
      <c r="Y5" s="96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/>
      <c r="B6" s="94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95"/>
      <c r="V6" s="95"/>
      <c r="W6" s="95"/>
      <c r="X6" s="95"/>
      <c r="Y6" s="96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/>
      <c r="B7" s="94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95"/>
      <c r="V7" s="95"/>
      <c r="W7" s="95"/>
      <c r="X7" s="95"/>
      <c r="Y7" s="96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/>
      <c r="B8" s="94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95"/>
      <c r="V8" s="95"/>
      <c r="W8" s="95"/>
      <c r="X8" s="95"/>
      <c r="Y8" s="96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/>
      <c r="B9" s="94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95"/>
      <c r="V9" s="95"/>
      <c r="W9" s="95"/>
      <c r="X9" s="95"/>
      <c r="Y9" s="96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/>
      <c r="B10" s="94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95"/>
      <c r="V10" s="95"/>
      <c r="W10" s="95"/>
      <c r="X10" s="95"/>
      <c r="Y10" s="96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/>
      <c r="B11" s="94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95"/>
      <c r="V11" s="95"/>
      <c r="W11" s="95"/>
      <c r="X11" s="95"/>
      <c r="Y11" s="96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/>
      <c r="B12" s="94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95"/>
      <c r="V12" s="95"/>
      <c r="W12" s="95"/>
      <c r="X12" s="95"/>
      <c r="Y12" s="96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/>
      <c r="B13" s="94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95"/>
      <c r="V13" s="95"/>
      <c r="W13" s="95"/>
      <c r="X13" s="95"/>
      <c r="Y13" s="96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/>
      <c r="B14" s="94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95"/>
      <c r="V14" s="95"/>
      <c r="W14" s="95"/>
      <c r="X14" s="95"/>
      <c r="Y14" s="96"/>
      <c r="Z14" s="131"/>
      <c r="AA14" s="131"/>
      <c r="AB14" s="131"/>
      <c r="AC14" s="131"/>
      <c r="AD14" s="131"/>
      <c r="AE14" s="131"/>
      <c r="AF14" s="131"/>
      <c r="AG14" s="131"/>
    </row>
    <row r="15" spans="1:33">
      <c r="A15" s="131"/>
      <c r="B15" s="94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95"/>
      <c r="V15" s="95"/>
      <c r="W15" s="95"/>
      <c r="X15" s="95"/>
      <c r="Y15" s="96"/>
      <c r="Z15" s="131"/>
      <c r="AA15" s="131"/>
      <c r="AB15" s="131"/>
      <c r="AC15" s="131"/>
      <c r="AD15" s="131"/>
      <c r="AE15" s="131"/>
      <c r="AF15" s="131"/>
      <c r="AG15" s="131"/>
    </row>
    <row r="16" spans="1:33">
      <c r="A16" s="131"/>
      <c r="B16" s="94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95"/>
      <c r="V16" s="95"/>
      <c r="W16" s="95"/>
      <c r="X16" s="95"/>
      <c r="Y16" s="96"/>
      <c r="Z16" s="131"/>
      <c r="AA16" s="131"/>
      <c r="AB16" s="131"/>
      <c r="AC16" s="131"/>
      <c r="AD16" s="131"/>
      <c r="AE16" s="131"/>
      <c r="AF16" s="131"/>
      <c r="AG16" s="131"/>
    </row>
    <row r="17" spans="1:37" ht="14.65" thickBot="1">
      <c r="A17" s="131"/>
      <c r="B17" s="9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95"/>
      <c r="V17" s="95"/>
      <c r="W17" s="95"/>
      <c r="X17" s="95"/>
      <c r="Y17" s="96"/>
      <c r="Z17" s="131"/>
      <c r="AA17" s="131"/>
      <c r="AB17" s="131"/>
      <c r="AC17" s="131"/>
      <c r="AD17" s="131"/>
      <c r="AE17" s="131"/>
      <c r="AF17" s="131"/>
      <c r="AG17" s="131"/>
    </row>
    <row r="18" spans="1:37" ht="14.65" thickBot="1">
      <c r="A18" s="131"/>
      <c r="B18" s="133" t="s">
        <v>182</v>
      </c>
      <c r="C18" s="134">
        <v>40</v>
      </c>
      <c r="D18" s="134">
        <v>41</v>
      </c>
      <c r="E18" s="134">
        <v>42</v>
      </c>
      <c r="F18" s="134">
        <v>43</v>
      </c>
      <c r="G18" s="134">
        <v>44</v>
      </c>
      <c r="H18" s="134">
        <v>45</v>
      </c>
      <c r="I18" s="134">
        <v>46</v>
      </c>
      <c r="J18" s="134">
        <v>47</v>
      </c>
      <c r="K18" s="134">
        <v>48</v>
      </c>
      <c r="L18" s="134">
        <v>49</v>
      </c>
      <c r="M18" s="134">
        <v>50</v>
      </c>
      <c r="N18" s="134">
        <f>1+M18</f>
        <v>51</v>
      </c>
      <c r="O18" s="134">
        <f t="shared" ref="O18:X18" si="0">1+N18</f>
        <v>52</v>
      </c>
      <c r="P18" s="134">
        <f t="shared" si="0"/>
        <v>53</v>
      </c>
      <c r="Q18" s="134">
        <f t="shared" si="0"/>
        <v>54</v>
      </c>
      <c r="R18" s="134">
        <f t="shared" si="0"/>
        <v>55</v>
      </c>
      <c r="S18" s="134">
        <f t="shared" si="0"/>
        <v>56</v>
      </c>
      <c r="T18" s="134">
        <f t="shared" si="0"/>
        <v>57</v>
      </c>
      <c r="U18" s="134">
        <f t="shared" si="0"/>
        <v>58</v>
      </c>
      <c r="V18" s="134">
        <f t="shared" si="0"/>
        <v>59</v>
      </c>
      <c r="W18" s="134">
        <f t="shared" si="0"/>
        <v>60</v>
      </c>
      <c r="X18" s="134">
        <f t="shared" si="0"/>
        <v>61</v>
      </c>
      <c r="Y18" s="135" t="s">
        <v>183</v>
      </c>
      <c r="Z18" s="131"/>
      <c r="AA18" s="131"/>
      <c r="AB18" s="131"/>
      <c r="AC18" s="131"/>
      <c r="AD18" s="131"/>
      <c r="AE18" s="131"/>
      <c r="AF18" s="131"/>
      <c r="AG18" s="131"/>
    </row>
    <row r="19" spans="1:37">
      <c r="A19" s="131"/>
      <c r="B19" s="299" t="s">
        <v>184</v>
      </c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1"/>
      <c r="Z19" s="131"/>
      <c r="AA19" s="131"/>
      <c r="AB19" s="131"/>
      <c r="AC19" s="131"/>
      <c r="AD19" s="131"/>
      <c r="AE19" s="131"/>
      <c r="AF19" s="131"/>
      <c r="AG19" s="131"/>
    </row>
    <row r="20" spans="1:37" ht="14.65" thickBot="1">
      <c r="A20" s="131"/>
      <c r="B20" s="302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4"/>
      <c r="Z20" s="131"/>
      <c r="AA20" s="131"/>
      <c r="AB20" s="131"/>
      <c r="AC20" s="131"/>
      <c r="AD20" s="131"/>
      <c r="AE20" s="131"/>
      <c r="AF20" s="131"/>
      <c r="AG20" s="131"/>
    </row>
    <row r="21" spans="1:37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</row>
    <row r="22" spans="1:37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</row>
    <row r="23" spans="1:37">
      <c r="A23" s="131"/>
      <c r="B23" s="131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</row>
    <row r="24" spans="1:37">
      <c r="A24" s="131"/>
      <c r="B24" s="131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</row>
    <row r="25" spans="1:37">
      <c r="A25" s="131"/>
      <c r="B25" s="131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>
      <c r="A26" s="131"/>
      <c r="B26" s="131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>
      <c r="A27" s="131"/>
      <c r="B27" s="131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>
      <c r="A28" s="131"/>
      <c r="B28" s="131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  <row r="29" spans="1:37">
      <c r="A29" s="131"/>
      <c r="B29" s="131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</row>
    <row r="30" spans="1:37"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</row>
  </sheetData>
  <mergeCells count="2">
    <mergeCell ref="B2:Y3"/>
    <mergeCell ref="B19:Y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1CA-D662-461D-BE1B-D50CCE706431}">
  <sheetPr>
    <tabColor rgb="FFFF0000"/>
  </sheetPr>
  <dimension ref="B1:N16"/>
  <sheetViews>
    <sheetView showGridLines="0" topLeftCell="B1" workbookViewId="0">
      <selection activeCell="E16" sqref="E16"/>
    </sheetView>
  </sheetViews>
  <sheetFormatPr defaultRowHeight="14.25"/>
  <cols>
    <col min="1" max="1" width="3.59765625" customWidth="1"/>
    <col min="13" max="13" width="65.796875" customWidth="1"/>
  </cols>
  <sheetData>
    <row r="1" spans="2:14">
      <c r="N1" s="141"/>
    </row>
    <row r="2" spans="2:14">
      <c r="B2" s="141" t="s">
        <v>365</v>
      </c>
      <c r="N2" s="141" t="s">
        <v>201</v>
      </c>
    </row>
    <row r="4" spans="2:14" ht="14.65" thickBot="1">
      <c r="B4" s="8" t="s">
        <v>372</v>
      </c>
      <c r="N4" s="8" t="s">
        <v>369</v>
      </c>
    </row>
    <row r="5" spans="2:14" ht="14.65" thickBot="1">
      <c r="C5" s="8" t="s">
        <v>368</v>
      </c>
      <c r="H5" s="220"/>
      <c r="N5" s="8" t="s">
        <v>366</v>
      </c>
    </row>
    <row r="6" spans="2:14" ht="14.65" thickBot="1">
      <c r="C6" s="8" t="s">
        <v>367</v>
      </c>
      <c r="H6" s="220"/>
      <c r="N6" s="8" t="s">
        <v>370</v>
      </c>
    </row>
    <row r="8" spans="2:14" ht="14.65" thickBot="1">
      <c r="B8" s="8" t="s">
        <v>377</v>
      </c>
      <c r="N8" s="8" t="s">
        <v>378</v>
      </c>
    </row>
    <row r="9" spans="2:14" ht="14.65" thickBot="1">
      <c r="C9" s="8" t="s">
        <v>368</v>
      </c>
      <c r="H9" s="220"/>
      <c r="N9" s="8" t="s">
        <v>366</v>
      </c>
    </row>
    <row r="10" spans="2:14" ht="14.65" thickBot="1">
      <c r="C10" s="8" t="s">
        <v>367</v>
      </c>
      <c r="H10" s="220"/>
      <c r="N10" s="8" t="s">
        <v>371</v>
      </c>
    </row>
    <row r="11" spans="2:14" ht="14.65" thickBot="1"/>
    <row r="12" spans="2:14" ht="14.65" thickBot="1">
      <c r="B12" t="s">
        <v>374</v>
      </c>
      <c r="H12" s="220"/>
      <c r="N12" t="s">
        <v>375</v>
      </c>
    </row>
    <row r="13" spans="2:14">
      <c r="B13" t="s">
        <v>373</v>
      </c>
      <c r="N13" t="s">
        <v>376</v>
      </c>
    </row>
    <row r="14" spans="2:14">
      <c r="N14" t="s">
        <v>379</v>
      </c>
    </row>
    <row r="15" spans="2:14">
      <c r="N15" t="s">
        <v>380</v>
      </c>
    </row>
    <row r="16" spans="2:14">
      <c r="N16" t="s">
        <v>381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6ABB-DD56-404B-BE5A-E21D2FABAB99}">
  <sheetPr>
    <tabColor rgb="FFFF0000"/>
  </sheetPr>
  <dimension ref="B2:O16"/>
  <sheetViews>
    <sheetView showGridLines="0" workbookViewId="0">
      <selection activeCell="K13" sqref="K13"/>
    </sheetView>
  </sheetViews>
  <sheetFormatPr defaultRowHeight="14.25"/>
  <cols>
    <col min="12" max="12" width="66.73046875" customWidth="1"/>
  </cols>
  <sheetData>
    <row r="2" spans="2:15">
      <c r="B2" s="141" t="s">
        <v>382</v>
      </c>
      <c r="M2" s="141" t="s">
        <v>201</v>
      </c>
    </row>
    <row r="3" spans="2:15" ht="14.65" thickBot="1">
      <c r="B3" s="141"/>
    </row>
    <row r="4" spans="2:15" ht="14.65" thickBot="1">
      <c r="B4" s="8" t="s">
        <v>384</v>
      </c>
      <c r="I4" s="220"/>
      <c r="M4" s="8" t="s">
        <v>385</v>
      </c>
    </row>
    <row r="5" spans="2:15">
      <c r="B5" s="8" t="s">
        <v>383</v>
      </c>
      <c r="M5" s="8" t="s">
        <v>386</v>
      </c>
    </row>
    <row r="6" spans="2:15">
      <c r="M6" s="144" t="s">
        <v>392</v>
      </c>
      <c r="N6" s="144" t="s">
        <v>387</v>
      </c>
      <c r="O6" s="144" t="s">
        <v>393</v>
      </c>
    </row>
    <row r="7" spans="2:15">
      <c r="M7" s="263" t="s">
        <v>388</v>
      </c>
    </row>
    <row r="9" spans="2:15">
      <c r="B9" s="141" t="s">
        <v>399</v>
      </c>
      <c r="M9" s="8" t="s">
        <v>385</v>
      </c>
    </row>
    <row r="10" spans="2:15" ht="14.65" thickBot="1">
      <c r="M10" s="8" t="s">
        <v>386</v>
      </c>
    </row>
    <row r="11" spans="2:15" ht="14.65" thickBot="1">
      <c r="B11" s="8" t="s">
        <v>389</v>
      </c>
      <c r="I11" s="220"/>
      <c r="M11" s="144" t="s">
        <v>394</v>
      </c>
      <c r="N11" s="144" t="s">
        <v>387</v>
      </c>
      <c r="O11" s="144" t="s">
        <v>395</v>
      </c>
    </row>
    <row r="12" spans="2:15">
      <c r="B12" s="8" t="s">
        <v>390</v>
      </c>
      <c r="M12" s="263" t="s">
        <v>391</v>
      </c>
    </row>
    <row r="13" spans="2:15">
      <c r="M13" s="8" t="s">
        <v>396</v>
      </c>
    </row>
    <row r="15" spans="2:15">
      <c r="M15" s="8" t="s">
        <v>398</v>
      </c>
    </row>
    <row r="16" spans="2:15">
      <c r="M16" s="8" t="s">
        <v>397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5B70-BE3B-4C81-9734-1D016265A77D}">
  <sheetPr>
    <tabColor rgb="FFFF0000"/>
  </sheetPr>
  <dimension ref="B2:O6"/>
  <sheetViews>
    <sheetView showGridLines="0" topLeftCell="B1" workbookViewId="0">
      <selection activeCell="N11" sqref="N11"/>
    </sheetView>
  </sheetViews>
  <sheetFormatPr defaultRowHeight="14.25"/>
  <cols>
    <col min="14" max="14" width="52" customWidth="1"/>
  </cols>
  <sheetData>
    <row r="2" spans="2:15">
      <c r="B2" s="141" t="s">
        <v>408</v>
      </c>
      <c r="O2" s="141" t="s">
        <v>274</v>
      </c>
    </row>
    <row r="3" spans="2:15">
      <c r="B3" s="141" t="s">
        <v>406</v>
      </c>
    </row>
    <row r="4" spans="2:15" ht="14.65" thickBot="1">
      <c r="O4" s="8" t="s">
        <v>400</v>
      </c>
    </row>
    <row r="5" spans="2:15" ht="14.65" thickBot="1">
      <c r="B5" s="8" t="s">
        <v>409</v>
      </c>
      <c r="G5" s="220"/>
      <c r="O5" s="8" t="s">
        <v>411</v>
      </c>
    </row>
    <row r="6" spans="2:15" ht="14.65" thickBot="1">
      <c r="B6" s="8" t="s">
        <v>410</v>
      </c>
      <c r="G6" s="220"/>
      <c r="O6" s="8" t="s">
        <v>407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EB85-B847-4105-A3EF-D255F2FB79E5}">
  <sheetPr>
    <tabColor rgb="FFFF0000"/>
  </sheetPr>
  <dimension ref="A1:I21"/>
  <sheetViews>
    <sheetView showGridLines="0" workbookViewId="0">
      <selection activeCell="J9" sqref="J9"/>
    </sheetView>
  </sheetViews>
  <sheetFormatPr defaultRowHeight="14.25"/>
  <cols>
    <col min="1" max="1" width="8.73046875" style="19"/>
    <col min="2" max="2" width="8.73046875" style="256"/>
    <col min="3" max="3" width="8.73046875" style="19"/>
    <col min="4" max="4" width="8.73046875" style="256"/>
    <col min="5" max="5" width="5.19921875" customWidth="1"/>
  </cols>
  <sheetData>
    <row r="1" spans="1:9" ht="14.65" thickBot="1">
      <c r="A1" s="305" t="s">
        <v>402</v>
      </c>
      <c r="B1" s="306"/>
      <c r="C1" s="306"/>
      <c r="D1" s="307"/>
      <c r="F1" s="305" t="s">
        <v>402</v>
      </c>
      <c r="G1" s="306"/>
      <c r="H1" s="306"/>
      <c r="I1" s="307"/>
    </row>
    <row r="2" spans="1:9" ht="14.65" thickBot="1">
      <c r="A2" s="308" t="s">
        <v>404</v>
      </c>
      <c r="B2" s="309"/>
      <c r="C2" s="308" t="s">
        <v>403</v>
      </c>
      <c r="D2" s="309"/>
      <c r="F2" s="308" t="s">
        <v>404</v>
      </c>
      <c r="G2" s="309"/>
      <c r="H2" s="308" t="s">
        <v>403</v>
      </c>
      <c r="I2" s="309"/>
    </row>
    <row r="3" spans="1:9" ht="14.65" thickBot="1">
      <c r="A3" s="270" t="s">
        <v>405</v>
      </c>
      <c r="B3" s="271" t="s">
        <v>359</v>
      </c>
      <c r="C3" s="270" t="s">
        <v>405</v>
      </c>
      <c r="D3" s="272" t="s">
        <v>359</v>
      </c>
      <c r="F3" s="267" t="s">
        <v>405</v>
      </c>
      <c r="G3" s="268" t="s">
        <v>359</v>
      </c>
      <c r="H3" s="267" t="s">
        <v>405</v>
      </c>
      <c r="I3" s="269" t="s">
        <v>359</v>
      </c>
    </row>
    <row r="4" spans="1:9">
      <c r="A4" s="274">
        <v>1</v>
      </c>
      <c r="B4" s="264">
        <v>6.3140000000000001</v>
      </c>
      <c r="C4" s="274">
        <v>1</v>
      </c>
      <c r="D4" s="264">
        <v>12.706</v>
      </c>
      <c r="E4" s="95"/>
      <c r="F4" s="275">
        <v>16</v>
      </c>
      <c r="G4" s="265">
        <v>1.746</v>
      </c>
      <c r="H4" s="275">
        <v>16</v>
      </c>
      <c r="I4" s="265">
        <v>2.12</v>
      </c>
    </row>
    <row r="5" spans="1:9">
      <c r="A5" s="275">
        <v>2</v>
      </c>
      <c r="B5" s="265">
        <v>2.92</v>
      </c>
      <c r="C5" s="275">
        <v>2</v>
      </c>
      <c r="D5" s="265">
        <v>4.3029999999999999</v>
      </c>
      <c r="E5" s="95"/>
      <c r="F5" s="275">
        <v>17</v>
      </c>
      <c r="G5" s="265">
        <v>1.74</v>
      </c>
      <c r="H5" s="275">
        <v>17</v>
      </c>
      <c r="I5" s="265">
        <v>2.11</v>
      </c>
    </row>
    <row r="6" spans="1:9">
      <c r="A6" s="275">
        <v>3</v>
      </c>
      <c r="B6" s="265">
        <v>2.3530000000000002</v>
      </c>
      <c r="C6" s="275">
        <v>3</v>
      </c>
      <c r="D6" s="265">
        <v>3.1819999999999999</v>
      </c>
      <c r="E6" s="95"/>
      <c r="F6" s="275">
        <v>18</v>
      </c>
      <c r="G6" s="265">
        <v>1.734</v>
      </c>
      <c r="H6" s="275">
        <v>18</v>
      </c>
      <c r="I6" s="265">
        <v>2.101</v>
      </c>
    </row>
    <row r="7" spans="1:9">
      <c r="A7" s="275">
        <v>4</v>
      </c>
      <c r="B7" s="265">
        <v>2.1320000000000001</v>
      </c>
      <c r="C7" s="275">
        <v>4</v>
      </c>
      <c r="D7" s="265">
        <v>2.7759999999999998</v>
      </c>
      <c r="E7" s="95"/>
      <c r="F7" s="275">
        <v>19</v>
      </c>
      <c r="G7" s="265">
        <v>1.7290000000000001</v>
      </c>
      <c r="H7" s="275">
        <v>19</v>
      </c>
      <c r="I7" s="265">
        <v>2.093</v>
      </c>
    </row>
    <row r="8" spans="1:9">
      <c r="A8" s="275">
        <v>5</v>
      </c>
      <c r="B8" s="265">
        <v>2.0150000000000001</v>
      </c>
      <c r="C8" s="275">
        <v>5</v>
      </c>
      <c r="D8" s="265">
        <v>2.5710000000000002</v>
      </c>
      <c r="E8" s="95"/>
      <c r="F8" s="275">
        <v>20</v>
      </c>
      <c r="G8" s="265">
        <v>1.7250000000000001</v>
      </c>
      <c r="H8" s="275">
        <v>20</v>
      </c>
      <c r="I8" s="265">
        <v>2.0859999999999999</v>
      </c>
    </row>
    <row r="9" spans="1:9">
      <c r="A9" s="275">
        <v>6</v>
      </c>
      <c r="B9" s="265">
        <v>1.9430000000000001</v>
      </c>
      <c r="C9" s="275">
        <v>6</v>
      </c>
      <c r="D9" s="265">
        <v>2.4470000000000001</v>
      </c>
      <c r="E9" s="95"/>
      <c r="F9" s="275">
        <v>21</v>
      </c>
      <c r="G9" s="265">
        <v>1.7210000000000001</v>
      </c>
      <c r="H9" s="275">
        <v>21</v>
      </c>
      <c r="I9" s="265">
        <v>2.08</v>
      </c>
    </row>
    <row r="10" spans="1:9">
      <c r="A10" s="275">
        <v>7</v>
      </c>
      <c r="B10" s="265">
        <v>1.895</v>
      </c>
      <c r="C10" s="275">
        <v>7</v>
      </c>
      <c r="D10" s="265">
        <v>2.3650000000000002</v>
      </c>
      <c r="E10" s="95"/>
      <c r="F10" s="275">
        <v>22</v>
      </c>
      <c r="G10" s="265">
        <v>1.7170000000000001</v>
      </c>
      <c r="H10" s="275">
        <v>22</v>
      </c>
      <c r="I10" s="265">
        <v>2.0739999999999998</v>
      </c>
    </row>
    <row r="11" spans="1:9">
      <c r="A11" s="275">
        <v>8</v>
      </c>
      <c r="B11" s="265">
        <v>1.86</v>
      </c>
      <c r="C11" s="275">
        <v>8</v>
      </c>
      <c r="D11" s="265">
        <v>2.306</v>
      </c>
      <c r="E11" s="95"/>
      <c r="F11" s="275">
        <v>23</v>
      </c>
      <c r="G11" s="265">
        <v>1.714</v>
      </c>
      <c r="H11" s="275">
        <v>23</v>
      </c>
      <c r="I11" s="265">
        <v>2.069</v>
      </c>
    </row>
    <row r="12" spans="1:9">
      <c r="A12" s="275">
        <v>9</v>
      </c>
      <c r="B12" s="265">
        <v>1.833</v>
      </c>
      <c r="C12" s="275">
        <v>9</v>
      </c>
      <c r="D12" s="265">
        <v>2.262</v>
      </c>
      <c r="E12" s="95"/>
      <c r="F12" s="275">
        <v>24</v>
      </c>
      <c r="G12" s="265">
        <v>1.7110000000000001</v>
      </c>
      <c r="H12" s="275">
        <v>24</v>
      </c>
      <c r="I12" s="265">
        <v>2.0640000000000001</v>
      </c>
    </row>
    <row r="13" spans="1:9">
      <c r="A13" s="275">
        <v>10</v>
      </c>
      <c r="B13" s="265">
        <v>1.8120000000000001</v>
      </c>
      <c r="C13" s="275">
        <v>10</v>
      </c>
      <c r="D13" s="265">
        <v>2.2280000000000002</v>
      </c>
      <c r="E13" s="95"/>
      <c r="F13" s="275">
        <v>25</v>
      </c>
      <c r="G13" s="265">
        <v>1.708</v>
      </c>
      <c r="H13" s="275">
        <v>25</v>
      </c>
      <c r="I13" s="265">
        <v>2.06</v>
      </c>
    </row>
    <row r="14" spans="1:9">
      <c r="A14" s="275">
        <v>11</v>
      </c>
      <c r="B14" s="265">
        <v>1.796</v>
      </c>
      <c r="C14" s="275">
        <v>11</v>
      </c>
      <c r="D14" s="265">
        <v>2.2010000000000001</v>
      </c>
      <c r="E14" s="95"/>
      <c r="F14" s="275">
        <v>26</v>
      </c>
      <c r="G14" s="265">
        <v>1.706</v>
      </c>
      <c r="H14" s="275">
        <v>26</v>
      </c>
      <c r="I14" s="265">
        <v>2.056</v>
      </c>
    </row>
    <row r="15" spans="1:9">
      <c r="A15" s="275">
        <v>12</v>
      </c>
      <c r="B15" s="265">
        <v>1.782</v>
      </c>
      <c r="C15" s="275">
        <v>12</v>
      </c>
      <c r="D15" s="265">
        <v>2.1789999999999998</v>
      </c>
      <c r="E15" s="95"/>
      <c r="F15" s="275">
        <v>27</v>
      </c>
      <c r="G15" s="265">
        <v>1.7030000000000001</v>
      </c>
      <c r="H15" s="275">
        <v>27</v>
      </c>
      <c r="I15" s="265">
        <v>2.052</v>
      </c>
    </row>
    <row r="16" spans="1:9">
      <c r="A16" s="275">
        <v>13</v>
      </c>
      <c r="B16" s="265">
        <v>1.7709999999999999</v>
      </c>
      <c r="C16" s="275">
        <v>13</v>
      </c>
      <c r="D16" s="265">
        <v>2.16</v>
      </c>
      <c r="E16" s="95"/>
      <c r="F16" s="275">
        <v>28</v>
      </c>
      <c r="G16" s="265">
        <v>1.7010000000000001</v>
      </c>
      <c r="H16" s="275">
        <v>28</v>
      </c>
      <c r="I16" s="265">
        <v>2.048</v>
      </c>
    </row>
    <row r="17" spans="1:9">
      <c r="A17" s="275">
        <v>14</v>
      </c>
      <c r="B17" s="265">
        <v>1.7609999999999999</v>
      </c>
      <c r="C17" s="275">
        <v>14</v>
      </c>
      <c r="D17" s="265">
        <v>2.145</v>
      </c>
      <c r="E17" s="95"/>
      <c r="F17" s="275">
        <v>29</v>
      </c>
      <c r="G17" s="265">
        <v>1.6990000000000001</v>
      </c>
      <c r="H17" s="275">
        <v>29</v>
      </c>
      <c r="I17" s="265">
        <v>2.0449999999999999</v>
      </c>
    </row>
    <row r="18" spans="1:9" ht="14.65" thickBot="1">
      <c r="A18" s="276">
        <v>15</v>
      </c>
      <c r="B18" s="266">
        <v>1.7529999999999999</v>
      </c>
      <c r="C18" s="276">
        <v>15</v>
      </c>
      <c r="D18" s="266">
        <v>2.1309999999999998</v>
      </c>
      <c r="E18" s="95"/>
      <c r="F18" s="275">
        <v>30</v>
      </c>
      <c r="G18" s="265">
        <v>1.6970000000000001</v>
      </c>
      <c r="H18" s="275">
        <v>30</v>
      </c>
      <c r="I18" s="265">
        <v>2.0419999999999998</v>
      </c>
    </row>
    <row r="19" spans="1:9">
      <c r="A19" s="87"/>
      <c r="B19" s="273"/>
      <c r="C19" s="87"/>
      <c r="D19" s="273"/>
      <c r="F19" s="275">
        <v>60</v>
      </c>
      <c r="G19" s="265">
        <v>1.671</v>
      </c>
      <c r="H19" s="275">
        <v>60</v>
      </c>
      <c r="I19" s="265">
        <v>2</v>
      </c>
    </row>
    <row r="20" spans="1:9">
      <c r="F20" s="275">
        <v>120</v>
      </c>
      <c r="G20" s="265">
        <v>1.6579999999999999</v>
      </c>
      <c r="H20" s="275">
        <v>120</v>
      </c>
      <c r="I20" s="265">
        <v>1.98</v>
      </c>
    </row>
    <row r="21" spans="1:9" ht="14.65" thickBot="1">
      <c r="F21" s="276" t="s">
        <v>401</v>
      </c>
      <c r="G21" s="266">
        <v>1.645</v>
      </c>
      <c r="H21" s="276" t="s">
        <v>401</v>
      </c>
      <c r="I21" s="266">
        <v>1.96</v>
      </c>
    </row>
  </sheetData>
  <mergeCells count="6">
    <mergeCell ref="A1:D1"/>
    <mergeCell ref="A2:B2"/>
    <mergeCell ref="C2:D2"/>
    <mergeCell ref="F1:I1"/>
    <mergeCell ref="F2:G2"/>
    <mergeCell ref="H2:I2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45E4-5D29-45DF-899D-06A2093E72C9}">
  <dimension ref="B2:E15"/>
  <sheetViews>
    <sheetView workbookViewId="0">
      <selection activeCell="M12" sqref="M12"/>
    </sheetView>
  </sheetViews>
  <sheetFormatPr defaultRowHeight="14.25"/>
  <cols>
    <col min="3" max="5" width="9.06640625" style="19"/>
  </cols>
  <sheetData>
    <row r="2" spans="2:5">
      <c r="B2" s="8" t="s">
        <v>428</v>
      </c>
    </row>
    <row r="4" spans="2:5" ht="14.65" thickBot="1"/>
    <row r="5" spans="2:5" ht="14.65" thickBot="1">
      <c r="B5" s="8" t="s">
        <v>429</v>
      </c>
      <c r="C5" s="281" t="s">
        <v>431</v>
      </c>
      <c r="D5" s="282" t="s">
        <v>432</v>
      </c>
      <c r="E5" s="283" t="s">
        <v>430</v>
      </c>
    </row>
    <row r="6" spans="2:5">
      <c r="C6" s="19">
        <v>1</v>
      </c>
      <c r="D6" s="19">
        <v>1</v>
      </c>
      <c r="E6" s="19">
        <f>C6*D6</f>
        <v>1</v>
      </c>
    </row>
    <row r="7" spans="2:5">
      <c r="C7" s="19">
        <v>2</v>
      </c>
      <c r="D7" s="19">
        <v>1</v>
      </c>
      <c r="E7" s="19">
        <f t="shared" ref="E7:E15" si="0">C7*D7</f>
        <v>2</v>
      </c>
    </row>
    <row r="8" spans="2:5">
      <c r="C8" s="19">
        <v>3</v>
      </c>
      <c r="D8" s="19">
        <v>1</v>
      </c>
      <c r="E8" s="19">
        <f t="shared" si="0"/>
        <v>3</v>
      </c>
    </row>
    <row r="9" spans="2:5">
      <c r="C9" s="19">
        <v>4</v>
      </c>
      <c r="D9" s="19">
        <v>1</v>
      </c>
      <c r="E9" s="19">
        <f t="shared" si="0"/>
        <v>4</v>
      </c>
    </row>
    <row r="10" spans="2:5">
      <c r="C10" s="19">
        <v>5</v>
      </c>
      <c r="D10" s="19">
        <v>1</v>
      </c>
      <c r="E10" s="19">
        <f t="shared" si="0"/>
        <v>5</v>
      </c>
    </row>
    <row r="11" spans="2:5">
      <c r="C11" s="19">
        <v>1</v>
      </c>
      <c r="D11" s="19">
        <v>3</v>
      </c>
      <c r="E11" s="19">
        <f t="shared" si="0"/>
        <v>3</v>
      </c>
    </row>
    <row r="12" spans="2:5">
      <c r="C12" s="19">
        <v>2</v>
      </c>
      <c r="D12" s="19">
        <v>3</v>
      </c>
      <c r="E12" s="19">
        <f t="shared" si="0"/>
        <v>6</v>
      </c>
    </row>
    <row r="13" spans="2:5">
      <c r="C13" s="19">
        <v>3</v>
      </c>
      <c r="D13" s="19">
        <v>3</v>
      </c>
      <c r="E13" s="19">
        <f t="shared" si="0"/>
        <v>9</v>
      </c>
    </row>
    <row r="14" spans="2:5">
      <c r="C14" s="19">
        <v>4</v>
      </c>
      <c r="D14" s="19">
        <v>3</v>
      </c>
      <c r="E14" s="19">
        <f t="shared" si="0"/>
        <v>12</v>
      </c>
    </row>
    <row r="15" spans="2:5">
      <c r="C15" s="19">
        <v>5</v>
      </c>
      <c r="D15" s="19">
        <v>3</v>
      </c>
      <c r="E15" s="19">
        <f t="shared" si="0"/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0E94-A982-486D-A58A-68DC7397918A}">
  <dimension ref="B2:J20"/>
  <sheetViews>
    <sheetView showGridLines="0" workbookViewId="0">
      <selection activeCell="I12" sqref="I12"/>
    </sheetView>
  </sheetViews>
  <sheetFormatPr defaultRowHeight="14.25"/>
  <cols>
    <col min="2" max="2" width="4.73046875" customWidth="1"/>
    <col min="9" max="9" width="94.265625" customWidth="1"/>
    <col min="10" max="10" width="11.06640625" customWidth="1"/>
  </cols>
  <sheetData>
    <row r="2" spans="2:10">
      <c r="B2" s="141" t="s">
        <v>202</v>
      </c>
      <c r="J2" s="141" t="s">
        <v>226</v>
      </c>
    </row>
    <row r="3" spans="2:10" ht="14.65" thickBot="1"/>
    <row r="4" spans="2:10" ht="14.65" thickBot="1">
      <c r="B4" s="8" t="s">
        <v>203</v>
      </c>
      <c r="C4" s="8">
        <v>144</v>
      </c>
      <c r="H4" s="220"/>
      <c r="J4">
        <f>SQRT(C4)</f>
        <v>12</v>
      </c>
    </row>
    <row r="5" spans="2:10" ht="14.65" thickBot="1">
      <c r="B5" s="8" t="s">
        <v>204</v>
      </c>
      <c r="C5" s="8">
        <v>169</v>
      </c>
      <c r="H5" s="220"/>
      <c r="J5">
        <f t="shared" ref="J5:J9" si="0">SQRT(C5)</f>
        <v>13</v>
      </c>
    </row>
    <row r="6" spans="2:10" ht="14.65" thickBot="1">
      <c r="B6" s="8" t="s">
        <v>205</v>
      </c>
      <c r="C6" s="8">
        <v>-169</v>
      </c>
      <c r="H6" s="220"/>
      <c r="J6" t="e">
        <f t="shared" si="0"/>
        <v>#NUM!</v>
      </c>
    </row>
    <row r="7" spans="2:10" ht="14.65" thickBot="1">
      <c r="B7" s="8" t="s">
        <v>206</v>
      </c>
      <c r="C7" s="8">
        <v>81</v>
      </c>
      <c r="H7" s="220"/>
      <c r="J7">
        <f t="shared" si="0"/>
        <v>9</v>
      </c>
    </row>
    <row r="8" spans="2:10" ht="14.65" thickBot="1">
      <c r="B8" s="8" t="s">
        <v>207</v>
      </c>
      <c r="C8" s="8">
        <v>0.5</v>
      </c>
      <c r="H8" s="220"/>
      <c r="J8">
        <f t="shared" si="0"/>
        <v>0.70710678118654757</v>
      </c>
    </row>
    <row r="9" spans="2:10" ht="14.65" thickBot="1">
      <c r="B9" s="8" t="s">
        <v>208</v>
      </c>
      <c r="C9" s="8">
        <v>0.25</v>
      </c>
      <c r="H9" s="220"/>
      <c r="J9">
        <f t="shared" si="0"/>
        <v>0.5</v>
      </c>
    </row>
    <row r="10" spans="2:10" ht="14.65" thickBot="1">
      <c r="B10" s="8" t="s">
        <v>209</v>
      </c>
      <c r="C10" t="s">
        <v>198</v>
      </c>
      <c r="H10" s="220"/>
      <c r="J10" s="8" t="s">
        <v>210</v>
      </c>
    </row>
    <row r="11" spans="2:10">
      <c r="J11" s="8">
        <f>SQRT(17)</f>
        <v>4.1231056256176606</v>
      </c>
    </row>
    <row r="14" spans="2:10">
      <c r="B14" s="141" t="s">
        <v>211</v>
      </c>
    </row>
    <row r="15" spans="2:10" ht="14.65" thickBot="1"/>
    <row r="16" spans="2:10" ht="14.65" thickBot="1">
      <c r="B16" s="8" t="s">
        <v>212</v>
      </c>
      <c r="C16" s="8" t="s">
        <v>215</v>
      </c>
      <c r="H16" s="220"/>
      <c r="J16">
        <f>10^2</f>
        <v>100</v>
      </c>
    </row>
    <row r="17" spans="2:10" ht="14.65" thickBot="1">
      <c r="B17" s="8" t="s">
        <v>213</v>
      </c>
      <c r="C17" s="8" t="s">
        <v>216</v>
      </c>
      <c r="H17" s="220"/>
      <c r="J17">
        <f>2^10</f>
        <v>1024</v>
      </c>
    </row>
    <row r="18" spans="2:10" ht="14.65" thickBot="1">
      <c r="B18" s="8" t="s">
        <v>214</v>
      </c>
      <c r="C18" s="8" t="s">
        <v>221</v>
      </c>
      <c r="H18" s="220"/>
      <c r="J18">
        <f>20^2</f>
        <v>400</v>
      </c>
    </row>
    <row r="19" spans="2:10" ht="14.65" thickBot="1">
      <c r="B19" s="8" t="s">
        <v>217</v>
      </c>
      <c r="C19" s="8" t="s">
        <v>218</v>
      </c>
      <c r="H19" s="220"/>
      <c r="J19">
        <f>2^20</f>
        <v>1048576</v>
      </c>
    </row>
    <row r="20" spans="2:10" ht="14.65" thickBot="1">
      <c r="B20" s="8" t="s">
        <v>219</v>
      </c>
      <c r="C20" s="8" t="s">
        <v>220</v>
      </c>
      <c r="H20" s="220"/>
      <c r="J20">
        <f>10^7</f>
        <v>10000000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97D3-7422-4A66-A6B0-DFA70FE9F988}">
  <dimension ref="D1:F20"/>
  <sheetViews>
    <sheetView workbookViewId="0">
      <selection activeCell="J6" sqref="J6"/>
    </sheetView>
  </sheetViews>
  <sheetFormatPr defaultRowHeight="14.25"/>
  <sheetData>
    <row r="1" spans="4:6">
      <c r="D1">
        <f>AVERAGE(D3:D16)</f>
        <v>0.47435886960508528</v>
      </c>
      <c r="F1">
        <f ca="1">AVERAGE(F3:F16)</f>
        <v>0.41954845765396642</v>
      </c>
    </row>
    <row r="3" spans="4:6">
      <c r="D3">
        <v>0.10182556231891493</v>
      </c>
      <c r="F3">
        <v>4.2415993342707514E-2</v>
      </c>
    </row>
    <row r="4" spans="4:6">
      <c r="D4">
        <v>0.93771406864579709</v>
      </c>
      <c r="F4">
        <v>0.6889953660215945</v>
      </c>
    </row>
    <row r="5" spans="4:6">
      <c r="D5">
        <v>0.92695717306480807</v>
      </c>
      <c r="F5">
        <v>0.52862791080767002</v>
      </c>
    </row>
    <row r="6" spans="4:6">
      <c r="D6">
        <v>6.5089589507549728E-2</v>
      </c>
      <c r="F6">
        <v>0.41135842769135511</v>
      </c>
    </row>
    <row r="7" spans="4:6">
      <c r="D7">
        <v>0.10182556231891493</v>
      </c>
      <c r="F7">
        <v>3.8479266901112807E-2</v>
      </c>
    </row>
    <row r="8" spans="4:6">
      <c r="D8">
        <v>0.93771406864579709</v>
      </c>
      <c r="F8">
        <v>0.20308935439664211</v>
      </c>
    </row>
    <row r="9" spans="4:6">
      <c r="D9">
        <v>0.92695717306480807</v>
      </c>
      <c r="F9">
        <v>0.24793818580279137</v>
      </c>
    </row>
    <row r="10" spans="4:6">
      <c r="D10">
        <v>6.5089589507549728E-2</v>
      </c>
      <c r="F10">
        <v>0.6874579240687424</v>
      </c>
    </row>
    <row r="11" spans="4:6">
      <c r="D11">
        <v>0.77575870776184985</v>
      </c>
      <c r="F11">
        <v>1.7365164146214473E-2</v>
      </c>
    </row>
    <row r="12" spans="4:6">
      <c r="D12">
        <v>8.0593934027562542E-2</v>
      </c>
      <c r="F12">
        <v>0.7124557716283606</v>
      </c>
    </row>
    <row r="13" spans="4:6">
      <c r="D13">
        <v>0.76483079173411572</v>
      </c>
      <c r="F13">
        <v>0.67774979678936687</v>
      </c>
    </row>
    <row r="14" spans="4:6">
      <c r="D14">
        <v>0.10200076916882506</v>
      </c>
      <c r="F14">
        <v>0.14709546765248327</v>
      </c>
    </row>
    <row r="15" spans="4:6">
      <c r="D15">
        <v>0.61669737859802087</v>
      </c>
      <c r="F15">
        <v>0.87706662602118157</v>
      </c>
    </row>
    <row r="16" spans="4:6">
      <c r="D16">
        <v>0.23796980610668095</v>
      </c>
      <c r="F16">
        <f t="shared" ref="F16" ca="1" si="0">RAND()</f>
        <v>0.59358315188530786</v>
      </c>
    </row>
    <row r="17" spans="4:4">
      <c r="D17">
        <v>0.10428748507004337</v>
      </c>
    </row>
    <row r="18" spans="4:4">
      <c r="D18">
        <v>0.53120466171142056</v>
      </c>
    </row>
    <row r="19" spans="4:4">
      <c r="D19">
        <v>0.3800222337219038</v>
      </c>
    </row>
    <row r="20" spans="4:4">
      <c r="D20">
        <v>0.26408233816107862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800B-8177-43DA-9AB2-430716F1625F}">
  <dimension ref="B1:R101"/>
  <sheetViews>
    <sheetView showGridLines="0" topLeftCell="H1" workbookViewId="0">
      <selection activeCell="P13" sqref="P13"/>
    </sheetView>
  </sheetViews>
  <sheetFormatPr defaultRowHeight="14.25"/>
  <cols>
    <col min="1" max="1" width="2.796875" customWidth="1"/>
    <col min="2" max="2" width="6.33203125" style="19" customWidth="1"/>
    <col min="3" max="3" width="3.46484375" customWidth="1"/>
    <col min="6" max="6" width="13.73046875" customWidth="1"/>
    <col min="7" max="7" width="9" style="4" bestFit="1" customWidth="1"/>
    <col min="8" max="8" width="4.06640625" customWidth="1"/>
    <col min="11" max="11" width="10" customWidth="1"/>
    <col min="12" max="12" width="29.6640625" customWidth="1"/>
    <col min="13" max="13" width="9.06640625" style="142"/>
    <col min="17" max="17" width="9.06640625" style="142"/>
  </cols>
  <sheetData>
    <row r="1" spans="2:18">
      <c r="B1" s="15" t="s">
        <v>97</v>
      </c>
      <c r="G1" s="15" t="s">
        <v>96</v>
      </c>
    </row>
    <row r="2" spans="2:18">
      <c r="B2" s="14">
        <v>214</v>
      </c>
      <c r="G2" s="16">
        <v>214614</v>
      </c>
    </row>
    <row r="3" spans="2:18">
      <c r="B3" s="14">
        <v>184</v>
      </c>
      <c r="D3" s="141" t="s">
        <v>421</v>
      </c>
      <c r="G3" s="16">
        <v>184139</v>
      </c>
      <c r="I3" s="141" t="s">
        <v>421</v>
      </c>
      <c r="M3" s="145" t="s">
        <v>226</v>
      </c>
      <c r="Q3" s="145" t="s">
        <v>226</v>
      </c>
    </row>
    <row r="4" spans="2:18">
      <c r="B4" s="14">
        <v>181</v>
      </c>
      <c r="D4" s="141" t="s">
        <v>420</v>
      </c>
      <c r="G4" s="149">
        <v>181890</v>
      </c>
      <c r="I4" s="141" t="s">
        <v>422</v>
      </c>
    </row>
    <row r="5" spans="2:18">
      <c r="B5" s="14">
        <v>206</v>
      </c>
      <c r="D5" s="141" t="s">
        <v>227</v>
      </c>
      <c r="G5" s="16">
        <v>206776</v>
      </c>
      <c r="I5" s="141" t="s">
        <v>227</v>
      </c>
      <c r="M5" s="146" t="s">
        <v>225</v>
      </c>
      <c r="Q5" s="146" t="s">
        <v>225</v>
      </c>
    </row>
    <row r="6" spans="2:18" ht="14.65" thickBot="1">
      <c r="B6" s="14">
        <v>147</v>
      </c>
      <c r="D6" s="8"/>
      <c r="G6" s="16">
        <v>157216</v>
      </c>
      <c r="I6" s="8"/>
    </row>
    <row r="7" spans="2:18" ht="14.65" thickBot="1">
      <c r="B7" s="14">
        <v>162</v>
      </c>
      <c r="D7" s="8" t="s">
        <v>222</v>
      </c>
      <c r="E7" s="220"/>
      <c r="G7" s="16">
        <v>162788</v>
      </c>
      <c r="I7" s="8" t="s">
        <v>222</v>
      </c>
      <c r="J7" s="220"/>
      <c r="M7" s="8" t="s">
        <v>222</v>
      </c>
      <c r="N7" s="150">
        <f>AVERAGE(B2:B11)</f>
        <v>177.8</v>
      </c>
      <c r="Q7" s="8" t="s">
        <v>222</v>
      </c>
      <c r="R7" s="147">
        <f>AVERAGE(G2:G101)</f>
        <v>205981.42</v>
      </c>
    </row>
    <row r="8" spans="2:18" ht="14.65" thickBot="1">
      <c r="B8" s="14">
        <v>157</v>
      </c>
      <c r="D8" s="8" t="s">
        <v>223</v>
      </c>
      <c r="E8" s="220"/>
      <c r="G8" s="16">
        <v>199942</v>
      </c>
      <c r="I8" s="8" t="s">
        <v>223</v>
      </c>
      <c r="J8" s="220"/>
      <c r="M8" s="8" t="s">
        <v>223</v>
      </c>
      <c r="N8" s="150">
        <f>MEDIAN(B2:B11)</f>
        <v>171.5</v>
      </c>
      <c r="Q8" s="8" t="s">
        <v>223</v>
      </c>
      <c r="R8" s="147">
        <f>MEDIAN(G2:G101)</f>
        <v>194098.5</v>
      </c>
    </row>
    <row r="9" spans="2:18" ht="14.65" thickBot="1">
      <c r="B9" s="143">
        <v>157</v>
      </c>
      <c r="D9" s="8" t="s">
        <v>224</v>
      </c>
      <c r="E9" s="220"/>
      <c r="G9" s="16">
        <v>159823</v>
      </c>
      <c r="I9" s="8" t="s">
        <v>224</v>
      </c>
      <c r="J9" s="220"/>
      <c r="M9" s="8" t="s">
        <v>224</v>
      </c>
      <c r="N9" s="150">
        <f>MODE(B2:B11)</f>
        <v>214</v>
      </c>
      <c r="Q9" s="8" t="s">
        <v>224</v>
      </c>
      <c r="R9" s="148">
        <f>MODE(G2:G101)</f>
        <v>266705</v>
      </c>
    </row>
    <row r="10" spans="2:18">
      <c r="B10" s="14">
        <v>156</v>
      </c>
      <c r="G10" s="16">
        <v>156611</v>
      </c>
      <c r="M10"/>
      <c r="Q10"/>
    </row>
    <row r="11" spans="2:18">
      <c r="B11" s="14">
        <v>214</v>
      </c>
      <c r="G11" s="16">
        <v>202864</v>
      </c>
      <c r="M11"/>
      <c r="Q11"/>
    </row>
    <row r="12" spans="2:18">
      <c r="G12" s="16">
        <v>142727</v>
      </c>
      <c r="M12"/>
      <c r="Q12"/>
    </row>
    <row r="13" spans="2:18">
      <c r="G13" s="16">
        <v>175436</v>
      </c>
    </row>
    <row r="14" spans="2:18">
      <c r="G14" s="16">
        <v>243729</v>
      </c>
      <c r="M14" s="152" t="s">
        <v>231</v>
      </c>
      <c r="Q14"/>
    </row>
    <row r="15" spans="2:18">
      <c r="G15" s="16">
        <v>184731</v>
      </c>
      <c r="M15" s="152" t="s">
        <v>232</v>
      </c>
      <c r="Q15"/>
    </row>
    <row r="16" spans="2:18">
      <c r="G16" s="16">
        <v>154946</v>
      </c>
      <c r="M16" s="152" t="s">
        <v>233</v>
      </c>
      <c r="Q16"/>
    </row>
    <row r="17" spans="7:7">
      <c r="G17" s="16">
        <v>187251</v>
      </c>
    </row>
    <row r="18" spans="7:7">
      <c r="G18" s="16">
        <v>148048</v>
      </c>
    </row>
    <row r="19" spans="7:7">
      <c r="G19" s="16">
        <v>149592</v>
      </c>
    </row>
    <row r="20" spans="7:7">
      <c r="G20" s="16">
        <v>187494</v>
      </c>
    </row>
    <row r="21" spans="7:7">
      <c r="G21" s="16">
        <v>159943</v>
      </c>
    </row>
    <row r="22" spans="7:7">
      <c r="G22" s="16">
        <v>162522</v>
      </c>
    </row>
    <row r="23" spans="7:7">
      <c r="G23" s="16">
        <v>210126</v>
      </c>
    </row>
    <row r="24" spans="7:7">
      <c r="G24" s="16">
        <v>155471</v>
      </c>
    </row>
    <row r="25" spans="7:7">
      <c r="G25" s="16">
        <v>140410</v>
      </c>
    </row>
    <row r="26" spans="7:7">
      <c r="G26" s="16">
        <v>234018</v>
      </c>
    </row>
    <row r="27" spans="7:7">
      <c r="G27" s="16">
        <v>181881</v>
      </c>
    </row>
    <row r="28" spans="7:7">
      <c r="G28" s="16">
        <v>178063</v>
      </c>
    </row>
    <row r="29" spans="7:7">
      <c r="G29" s="16">
        <v>204873</v>
      </c>
    </row>
    <row r="30" spans="7:7">
      <c r="G30" s="16">
        <v>148073</v>
      </c>
    </row>
    <row r="31" spans="7:7">
      <c r="G31" s="16">
        <v>148728</v>
      </c>
    </row>
    <row r="32" spans="7:7">
      <c r="G32" s="16">
        <v>183388</v>
      </c>
    </row>
    <row r="33" spans="7:7">
      <c r="G33" s="16">
        <v>105041</v>
      </c>
    </row>
    <row r="34" spans="7:7">
      <c r="G34" s="16">
        <v>194274</v>
      </c>
    </row>
    <row r="35" spans="7:7">
      <c r="G35" s="16">
        <v>190637</v>
      </c>
    </row>
    <row r="36" spans="7:7">
      <c r="G36" s="16">
        <v>197389</v>
      </c>
    </row>
    <row r="37" spans="7:7">
      <c r="G37" s="16">
        <v>172931</v>
      </c>
    </row>
    <row r="38" spans="7:7">
      <c r="G38" s="16">
        <v>176218</v>
      </c>
    </row>
    <row r="39" spans="7:7">
      <c r="G39" s="16">
        <v>193923</v>
      </c>
    </row>
    <row r="40" spans="7:7">
      <c r="G40" s="16">
        <v>179129</v>
      </c>
    </row>
    <row r="41" spans="7:7">
      <c r="G41" s="16">
        <v>176220</v>
      </c>
    </row>
    <row r="42" spans="7:7">
      <c r="G42" s="16">
        <v>193570</v>
      </c>
    </row>
    <row r="43" spans="7:7">
      <c r="G43" s="16">
        <v>167133</v>
      </c>
    </row>
    <row r="44" spans="7:7">
      <c r="G44" s="16">
        <v>182871</v>
      </c>
    </row>
    <row r="45" spans="7:7">
      <c r="G45" s="16">
        <v>204818</v>
      </c>
    </row>
    <row r="46" spans="7:7">
      <c r="G46" s="16">
        <v>193597</v>
      </c>
    </row>
    <row r="47" spans="7:7">
      <c r="G47" s="16">
        <v>171543</v>
      </c>
    </row>
    <row r="48" spans="7:7">
      <c r="G48" s="16">
        <v>186695</v>
      </c>
    </row>
    <row r="49" spans="7:7">
      <c r="G49" s="16">
        <v>180443</v>
      </c>
    </row>
    <row r="50" spans="7:7">
      <c r="G50" s="16">
        <v>174401</v>
      </c>
    </row>
    <row r="51" spans="7:7">
      <c r="G51" s="16">
        <v>194938</v>
      </c>
    </row>
    <row r="52" spans="7:7">
      <c r="G52" s="16">
        <v>179817</v>
      </c>
    </row>
    <row r="53" spans="7:7">
      <c r="G53" s="16">
        <v>177565</v>
      </c>
    </row>
    <row r="54" spans="7:7">
      <c r="G54" s="16">
        <v>194521</v>
      </c>
    </row>
    <row r="55" spans="7:7">
      <c r="G55" s="16">
        <v>172189</v>
      </c>
    </row>
    <row r="56" spans="7:7">
      <c r="G56" s="16">
        <v>164802</v>
      </c>
    </row>
    <row r="57" spans="7:7">
      <c r="G57" s="16">
        <v>206577</v>
      </c>
    </row>
    <row r="58" spans="7:7">
      <c r="G58" s="16">
        <v>181117</v>
      </c>
    </row>
    <row r="59" spans="7:7">
      <c r="G59" s="16">
        <v>181456</v>
      </c>
    </row>
    <row r="60" spans="7:7">
      <c r="G60" s="16">
        <v>196183</v>
      </c>
    </row>
    <row r="61" spans="7:7">
      <c r="G61" s="16">
        <v>173731</v>
      </c>
    </row>
    <row r="62" spans="7:7">
      <c r="G62" s="16">
        <v>172938</v>
      </c>
    </row>
    <row r="63" spans="7:7">
      <c r="G63" s="16">
        <v>191548</v>
      </c>
    </row>
    <row r="64" spans="7:7">
      <c r="G64" s="16">
        <v>276350</v>
      </c>
    </row>
    <row r="65" spans="7:7">
      <c r="G65" s="16">
        <v>257710</v>
      </c>
    </row>
    <row r="66" spans="7:7">
      <c r="G66" s="16">
        <v>261840</v>
      </c>
    </row>
    <row r="67" spans="7:7">
      <c r="G67" s="16">
        <v>287958</v>
      </c>
    </row>
    <row r="68" spans="7:7">
      <c r="G68" s="16">
        <v>206341</v>
      </c>
    </row>
    <row r="69" spans="7:7">
      <c r="G69" s="16">
        <v>220765</v>
      </c>
    </row>
    <row r="70" spans="7:7">
      <c r="G70" s="16">
        <v>270730</v>
      </c>
    </row>
    <row r="71" spans="7:7">
      <c r="G71" s="16">
        <v>226780</v>
      </c>
    </row>
    <row r="72" spans="7:7">
      <c r="G72" s="16">
        <v>222840</v>
      </c>
    </row>
    <row r="73" spans="7:7">
      <c r="G73" s="16">
        <v>269274</v>
      </c>
    </row>
    <row r="74" spans="7:7">
      <c r="G74" s="16">
        <v>192338</v>
      </c>
    </row>
    <row r="75" spans="7:7">
      <c r="G75" s="16">
        <v>228770</v>
      </c>
    </row>
    <row r="76" spans="7:7">
      <c r="G76" s="16">
        <v>298108</v>
      </c>
    </row>
    <row r="77" spans="7:7">
      <c r="G77" s="16">
        <v>280787</v>
      </c>
    </row>
    <row r="78" spans="7:7">
      <c r="G78" s="16">
        <v>221966</v>
      </c>
    </row>
    <row r="79" spans="7:7">
      <c r="G79" s="16">
        <v>271892</v>
      </c>
    </row>
    <row r="80" spans="7:7">
      <c r="G80" s="16">
        <v>235445</v>
      </c>
    </row>
    <row r="81" spans="7:7">
      <c r="G81" s="16">
        <v>224228</v>
      </c>
    </row>
    <row r="82" spans="7:7">
      <c r="G82" s="16">
        <v>266705</v>
      </c>
    </row>
    <row r="83" spans="7:7">
      <c r="G83" s="16">
        <v>225428</v>
      </c>
    </row>
    <row r="84" spans="7:7">
      <c r="G84" s="16">
        <v>220880</v>
      </c>
    </row>
    <row r="85" spans="7:7">
      <c r="G85" s="16">
        <v>285372</v>
      </c>
    </row>
    <row r="86" spans="7:7">
      <c r="G86" s="16">
        <v>211952</v>
      </c>
    </row>
    <row r="87" spans="7:7">
      <c r="G87" s="16">
        <v>193371</v>
      </c>
    </row>
    <row r="88" spans="7:7">
      <c r="G88" s="16">
        <v>334293</v>
      </c>
    </row>
    <row r="89" spans="7:7">
      <c r="G89" s="16">
        <v>221926</v>
      </c>
    </row>
    <row r="90" spans="7:7">
      <c r="G90" s="16">
        <v>274087</v>
      </c>
    </row>
    <row r="91" spans="7:7">
      <c r="G91" s="16">
        <v>319566</v>
      </c>
    </row>
    <row r="92" spans="7:7">
      <c r="G92" s="16">
        <v>221783</v>
      </c>
    </row>
    <row r="93" spans="7:7">
      <c r="G93" s="16">
        <v>221368</v>
      </c>
    </row>
    <row r="94" spans="7:7">
      <c r="G94" s="16">
        <v>272960</v>
      </c>
    </row>
    <row r="95" spans="7:7">
      <c r="G95" s="16">
        <v>266705</v>
      </c>
    </row>
    <row r="96" spans="7:7">
      <c r="G96" s="16">
        <v>225428</v>
      </c>
    </row>
    <row r="97" spans="7:7">
      <c r="G97" s="16">
        <v>220880</v>
      </c>
    </row>
    <row r="98" spans="7:7">
      <c r="G98" s="16">
        <v>285372</v>
      </c>
    </row>
    <row r="99" spans="7:7">
      <c r="G99" s="16">
        <v>211952</v>
      </c>
    </row>
    <row r="100" spans="7:7">
      <c r="G100" s="16">
        <v>193371</v>
      </c>
    </row>
    <row r="101" spans="7:7">
      <c r="G101" s="16">
        <v>334293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5B48-78E8-4478-A27F-97F78B22DFED}">
  <dimension ref="B1:R101"/>
  <sheetViews>
    <sheetView showGridLines="0" workbookViewId="0">
      <selection activeCell="T14" sqref="T14"/>
    </sheetView>
  </sheetViews>
  <sheetFormatPr defaultRowHeight="14.25"/>
  <cols>
    <col min="1" max="1" width="2.796875" customWidth="1"/>
    <col min="2" max="2" width="6.33203125" style="19" customWidth="1"/>
    <col min="3" max="3" width="3.46484375" customWidth="1"/>
    <col min="6" max="6" width="13.73046875" customWidth="1"/>
    <col min="7" max="7" width="9" style="4" bestFit="1" customWidth="1"/>
    <col min="8" max="8" width="4.06640625" customWidth="1"/>
    <col min="11" max="11" width="10" customWidth="1"/>
    <col min="12" max="12" width="27.9296875" customWidth="1"/>
    <col min="13" max="13" width="8.73046875" style="142"/>
    <col min="17" max="17" width="8.73046875" style="142"/>
  </cols>
  <sheetData>
    <row r="1" spans="2:18">
      <c r="B1" s="15" t="s">
        <v>97</v>
      </c>
      <c r="G1" s="15" t="s">
        <v>96</v>
      </c>
    </row>
    <row r="2" spans="2:18">
      <c r="B2" s="14">
        <v>214</v>
      </c>
      <c r="G2" s="16">
        <v>214614</v>
      </c>
    </row>
    <row r="3" spans="2:18">
      <c r="B3" s="14">
        <v>184</v>
      </c>
      <c r="D3" s="141" t="s">
        <v>423</v>
      </c>
      <c r="G3" s="16">
        <v>184139</v>
      </c>
      <c r="I3" s="141" t="s">
        <v>424</v>
      </c>
      <c r="M3" s="145" t="s">
        <v>226</v>
      </c>
      <c r="Q3" s="145" t="s">
        <v>226</v>
      </c>
    </row>
    <row r="4" spans="2:18" ht="14.65" thickBot="1">
      <c r="B4" s="14">
        <v>181</v>
      </c>
      <c r="D4" s="141" t="s">
        <v>419</v>
      </c>
      <c r="G4" s="149">
        <v>181890</v>
      </c>
      <c r="I4" s="141" t="s">
        <v>422</v>
      </c>
    </row>
    <row r="5" spans="2:18" ht="14.65" thickBot="1">
      <c r="B5" s="14">
        <v>206</v>
      </c>
      <c r="D5" s="141" t="s">
        <v>227</v>
      </c>
      <c r="G5" s="16">
        <v>206776</v>
      </c>
      <c r="I5" s="141" t="s">
        <v>227</v>
      </c>
      <c r="M5" s="17" t="s">
        <v>228</v>
      </c>
      <c r="N5" s="151">
        <f>_xlfn.STDEV.P(B2:B11)</f>
        <v>24.502244795120305</v>
      </c>
      <c r="Q5" s="17" t="s">
        <v>228</v>
      </c>
      <c r="R5" s="23">
        <f>_xlfn.STDEV.P(G2:G101)</f>
        <v>44656.511185308686</v>
      </c>
    </row>
    <row r="6" spans="2:18" ht="14.65" thickBot="1">
      <c r="B6" s="14">
        <v>147</v>
      </c>
      <c r="D6" s="8"/>
      <c r="G6" s="16">
        <v>157216</v>
      </c>
      <c r="I6" s="8"/>
      <c r="M6" s="17" t="s">
        <v>229</v>
      </c>
      <c r="N6" s="151">
        <f>_xlfn.STDEV.S(B2:B11)</f>
        <v>25.827633779861912</v>
      </c>
      <c r="Q6" s="17" t="s">
        <v>229</v>
      </c>
      <c r="R6" s="23">
        <f>_xlfn.STDEV.S(G2:G101)</f>
        <v>44881.482438781197</v>
      </c>
    </row>
    <row r="7" spans="2:18" ht="14.65" thickBot="1">
      <c r="B7" s="14">
        <v>162</v>
      </c>
      <c r="D7" s="17" t="s">
        <v>228</v>
      </c>
      <c r="E7" s="220"/>
      <c r="G7" s="16">
        <v>162788</v>
      </c>
      <c r="I7" s="17" t="s">
        <v>228</v>
      </c>
      <c r="J7" s="220"/>
      <c r="M7" s="17" t="s">
        <v>230</v>
      </c>
      <c r="N7" s="151">
        <f>STDEV(B2:B11)</f>
        <v>25.827633779861912</v>
      </c>
      <c r="Q7" s="17" t="s">
        <v>230</v>
      </c>
      <c r="R7" s="23">
        <f>STDEV(G2:G101)</f>
        <v>44881.482438781197</v>
      </c>
    </row>
    <row r="8" spans="2:18" ht="14.65" thickBot="1">
      <c r="B8" s="14">
        <v>157</v>
      </c>
      <c r="D8" s="17" t="s">
        <v>229</v>
      </c>
      <c r="E8" s="220"/>
      <c r="G8" s="16">
        <v>199942</v>
      </c>
      <c r="I8" s="17" t="s">
        <v>229</v>
      </c>
      <c r="J8" s="220"/>
    </row>
    <row r="9" spans="2:18" ht="14.65" thickBot="1">
      <c r="B9" s="143">
        <v>157</v>
      </c>
      <c r="D9" s="17" t="s">
        <v>230</v>
      </c>
      <c r="E9" s="220"/>
      <c r="G9" s="16">
        <v>159823</v>
      </c>
      <c r="I9" s="17" t="s">
        <v>230</v>
      </c>
      <c r="J9" s="220"/>
      <c r="M9" s="152" t="s">
        <v>425</v>
      </c>
      <c r="Q9" s="152"/>
    </row>
    <row r="10" spans="2:18">
      <c r="B10" s="14">
        <v>156</v>
      </c>
      <c r="G10" s="16">
        <v>156611</v>
      </c>
      <c r="M10" s="152"/>
      <c r="Q10" s="152"/>
    </row>
    <row r="11" spans="2:18">
      <c r="B11" s="14">
        <v>214</v>
      </c>
      <c r="G11" s="16">
        <v>202864</v>
      </c>
      <c r="M11" s="152"/>
      <c r="Q11" s="152"/>
    </row>
    <row r="12" spans="2:18">
      <c r="G12" s="16">
        <v>142727</v>
      </c>
    </row>
    <row r="13" spans="2:18">
      <c r="G13" s="16">
        <v>175436</v>
      </c>
    </row>
    <row r="14" spans="2:18">
      <c r="G14" s="16">
        <v>243729</v>
      </c>
    </row>
    <row r="15" spans="2:18">
      <c r="G15" s="16">
        <v>184731</v>
      </c>
    </row>
    <row r="16" spans="2:18">
      <c r="G16" s="16">
        <v>154946</v>
      </c>
    </row>
    <row r="17" spans="7:7">
      <c r="G17" s="16">
        <v>187251</v>
      </c>
    </row>
    <row r="18" spans="7:7">
      <c r="G18" s="16">
        <v>148048</v>
      </c>
    </row>
    <row r="19" spans="7:7">
      <c r="G19" s="16">
        <v>149592</v>
      </c>
    </row>
    <row r="20" spans="7:7">
      <c r="G20" s="16">
        <v>187494</v>
      </c>
    </row>
    <row r="21" spans="7:7">
      <c r="G21" s="16">
        <v>159943</v>
      </c>
    </row>
    <row r="22" spans="7:7">
      <c r="G22" s="16">
        <v>162522</v>
      </c>
    </row>
    <row r="23" spans="7:7">
      <c r="G23" s="16">
        <v>210126</v>
      </c>
    </row>
    <row r="24" spans="7:7">
      <c r="G24" s="16">
        <v>155471</v>
      </c>
    </row>
    <row r="25" spans="7:7">
      <c r="G25" s="16">
        <v>140410</v>
      </c>
    </row>
    <row r="26" spans="7:7">
      <c r="G26" s="16">
        <v>234018</v>
      </c>
    </row>
    <row r="27" spans="7:7">
      <c r="G27" s="16">
        <v>181881</v>
      </c>
    </row>
    <row r="28" spans="7:7">
      <c r="G28" s="16">
        <v>178063</v>
      </c>
    </row>
    <row r="29" spans="7:7">
      <c r="G29" s="16">
        <v>204873</v>
      </c>
    </row>
    <row r="30" spans="7:7">
      <c r="G30" s="16">
        <v>148073</v>
      </c>
    </row>
    <row r="31" spans="7:7">
      <c r="G31" s="16">
        <v>148728</v>
      </c>
    </row>
    <row r="32" spans="7:7">
      <c r="G32" s="16">
        <v>183388</v>
      </c>
    </row>
    <row r="33" spans="7:7">
      <c r="G33" s="16">
        <v>105041</v>
      </c>
    </row>
    <row r="34" spans="7:7">
      <c r="G34" s="16">
        <v>194274</v>
      </c>
    </row>
    <row r="35" spans="7:7">
      <c r="G35" s="16">
        <v>190637</v>
      </c>
    </row>
    <row r="36" spans="7:7">
      <c r="G36" s="16">
        <v>197389</v>
      </c>
    </row>
    <row r="37" spans="7:7">
      <c r="G37" s="16">
        <v>172931</v>
      </c>
    </row>
    <row r="38" spans="7:7">
      <c r="G38" s="16">
        <v>176218</v>
      </c>
    </row>
    <row r="39" spans="7:7">
      <c r="G39" s="16">
        <v>193923</v>
      </c>
    </row>
    <row r="40" spans="7:7">
      <c r="G40" s="16">
        <v>179129</v>
      </c>
    </row>
    <row r="41" spans="7:7">
      <c r="G41" s="16">
        <v>176220</v>
      </c>
    </row>
    <row r="42" spans="7:7">
      <c r="G42" s="16">
        <v>193570</v>
      </c>
    </row>
    <row r="43" spans="7:7">
      <c r="G43" s="16">
        <v>167133</v>
      </c>
    </row>
    <row r="44" spans="7:7">
      <c r="G44" s="16">
        <v>182871</v>
      </c>
    </row>
    <row r="45" spans="7:7">
      <c r="G45" s="16">
        <v>204818</v>
      </c>
    </row>
    <row r="46" spans="7:7">
      <c r="G46" s="16">
        <v>193597</v>
      </c>
    </row>
    <row r="47" spans="7:7">
      <c r="G47" s="16">
        <v>171543</v>
      </c>
    </row>
    <row r="48" spans="7:7">
      <c r="G48" s="16">
        <v>186695</v>
      </c>
    </row>
    <row r="49" spans="7:7">
      <c r="G49" s="16">
        <v>180443</v>
      </c>
    </row>
    <row r="50" spans="7:7">
      <c r="G50" s="16">
        <v>174401</v>
      </c>
    </row>
    <row r="51" spans="7:7">
      <c r="G51" s="16">
        <v>194938</v>
      </c>
    </row>
    <row r="52" spans="7:7">
      <c r="G52" s="16">
        <v>179817</v>
      </c>
    </row>
    <row r="53" spans="7:7">
      <c r="G53" s="16">
        <v>177565</v>
      </c>
    </row>
    <row r="54" spans="7:7">
      <c r="G54" s="16">
        <v>194521</v>
      </c>
    </row>
    <row r="55" spans="7:7">
      <c r="G55" s="16">
        <v>172189</v>
      </c>
    </row>
    <row r="56" spans="7:7">
      <c r="G56" s="16">
        <v>164802</v>
      </c>
    </row>
    <row r="57" spans="7:7">
      <c r="G57" s="16">
        <v>206577</v>
      </c>
    </row>
    <row r="58" spans="7:7">
      <c r="G58" s="16">
        <v>181117</v>
      </c>
    </row>
    <row r="59" spans="7:7">
      <c r="G59" s="16">
        <v>181456</v>
      </c>
    </row>
    <row r="60" spans="7:7">
      <c r="G60" s="16">
        <v>196183</v>
      </c>
    </row>
    <row r="61" spans="7:7">
      <c r="G61" s="16">
        <v>173731</v>
      </c>
    </row>
    <row r="62" spans="7:7">
      <c r="G62" s="16">
        <v>172938</v>
      </c>
    </row>
    <row r="63" spans="7:7">
      <c r="G63" s="16">
        <v>191548</v>
      </c>
    </row>
    <row r="64" spans="7:7">
      <c r="G64" s="16">
        <v>276350</v>
      </c>
    </row>
    <row r="65" spans="7:7">
      <c r="G65" s="16">
        <v>257710</v>
      </c>
    </row>
    <row r="66" spans="7:7">
      <c r="G66" s="16">
        <v>261840</v>
      </c>
    </row>
    <row r="67" spans="7:7">
      <c r="G67" s="16">
        <v>287958</v>
      </c>
    </row>
    <row r="68" spans="7:7">
      <c r="G68" s="16">
        <v>206341</v>
      </c>
    </row>
    <row r="69" spans="7:7">
      <c r="G69" s="16">
        <v>220765</v>
      </c>
    </row>
    <row r="70" spans="7:7">
      <c r="G70" s="16">
        <v>270730</v>
      </c>
    </row>
    <row r="71" spans="7:7">
      <c r="G71" s="16">
        <v>226780</v>
      </c>
    </row>
    <row r="72" spans="7:7">
      <c r="G72" s="16">
        <v>222840</v>
      </c>
    </row>
    <row r="73" spans="7:7">
      <c r="G73" s="16">
        <v>269274</v>
      </c>
    </row>
    <row r="74" spans="7:7">
      <c r="G74" s="16">
        <v>192338</v>
      </c>
    </row>
    <row r="75" spans="7:7">
      <c r="G75" s="16">
        <v>228770</v>
      </c>
    </row>
    <row r="76" spans="7:7">
      <c r="G76" s="16">
        <v>298108</v>
      </c>
    </row>
    <row r="77" spans="7:7">
      <c r="G77" s="16">
        <v>280787</v>
      </c>
    </row>
    <row r="78" spans="7:7">
      <c r="G78" s="16">
        <v>221966</v>
      </c>
    </row>
    <row r="79" spans="7:7">
      <c r="G79" s="16">
        <v>271892</v>
      </c>
    </row>
    <row r="80" spans="7:7">
      <c r="G80" s="16">
        <v>235445</v>
      </c>
    </row>
    <row r="81" spans="7:7">
      <c r="G81" s="16">
        <v>224228</v>
      </c>
    </row>
    <row r="82" spans="7:7">
      <c r="G82" s="16">
        <v>266705</v>
      </c>
    </row>
    <row r="83" spans="7:7">
      <c r="G83" s="16">
        <v>225428</v>
      </c>
    </row>
    <row r="84" spans="7:7">
      <c r="G84" s="16">
        <v>220880</v>
      </c>
    </row>
    <row r="85" spans="7:7">
      <c r="G85" s="16">
        <v>285372</v>
      </c>
    </row>
    <row r="86" spans="7:7">
      <c r="G86" s="16">
        <v>211952</v>
      </c>
    </row>
    <row r="87" spans="7:7">
      <c r="G87" s="16">
        <v>193371</v>
      </c>
    </row>
    <row r="88" spans="7:7">
      <c r="G88" s="16">
        <v>334293</v>
      </c>
    </row>
    <row r="89" spans="7:7">
      <c r="G89" s="16">
        <v>221926</v>
      </c>
    </row>
    <row r="90" spans="7:7">
      <c r="G90" s="16">
        <v>274087</v>
      </c>
    </row>
    <row r="91" spans="7:7">
      <c r="G91" s="16">
        <v>319566</v>
      </c>
    </row>
    <row r="92" spans="7:7">
      <c r="G92" s="16">
        <v>221783</v>
      </c>
    </row>
    <row r="93" spans="7:7">
      <c r="G93" s="16">
        <v>221368</v>
      </c>
    </row>
    <row r="94" spans="7:7">
      <c r="G94" s="16">
        <v>272960</v>
      </c>
    </row>
    <row r="95" spans="7:7">
      <c r="G95" s="16">
        <v>266705</v>
      </c>
    </row>
    <row r="96" spans="7:7">
      <c r="G96" s="16">
        <v>225428</v>
      </c>
    </row>
    <row r="97" spans="7:7">
      <c r="G97" s="16">
        <v>220880</v>
      </c>
    </row>
    <row r="98" spans="7:7">
      <c r="G98" s="16">
        <v>285372</v>
      </c>
    </row>
    <row r="99" spans="7:7">
      <c r="G99" s="16">
        <v>211952</v>
      </c>
    </row>
    <row r="100" spans="7:7">
      <c r="G100" s="16">
        <v>193371</v>
      </c>
    </row>
    <row r="101" spans="7:7">
      <c r="G101" s="16">
        <v>334293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42BE-812C-4E66-8806-2F1B36FA2A8E}">
  <dimension ref="A1:K104"/>
  <sheetViews>
    <sheetView showGridLines="0" zoomScale="80" zoomScaleNormal="80" workbookViewId="0">
      <selection activeCell="F17" sqref="F17"/>
    </sheetView>
  </sheetViews>
  <sheetFormatPr defaultRowHeight="14.25"/>
  <cols>
    <col min="1" max="1" width="5.9296875" style="19" bestFit="1" customWidth="1"/>
    <col min="2" max="2" width="16.53125" bestFit="1" customWidth="1"/>
    <col min="3" max="3" width="15.796875" style="12" bestFit="1" customWidth="1"/>
    <col min="4" max="4" width="8.59765625" style="37" bestFit="1" customWidth="1"/>
    <col min="5" max="5" width="7" customWidth="1"/>
    <col min="6" max="6" width="3.53125" customWidth="1"/>
    <col min="7" max="7" width="26.33203125" style="19" customWidth="1"/>
    <col min="8" max="8" width="22.53125" customWidth="1"/>
    <col min="9" max="9" width="45.59765625" customWidth="1"/>
    <col min="10" max="10" width="33.6640625" customWidth="1"/>
    <col min="11" max="11" width="15" customWidth="1"/>
  </cols>
  <sheetData>
    <row r="1" spans="1:11" ht="45.5" customHeight="1" thickBot="1">
      <c r="A1" s="29" t="s">
        <v>47</v>
      </c>
      <c r="B1" s="30" t="s">
        <v>118</v>
      </c>
      <c r="C1" s="31" t="s">
        <v>119</v>
      </c>
      <c r="D1" s="34" t="s">
        <v>269</v>
      </c>
      <c r="E1" s="35" t="s">
        <v>125</v>
      </c>
      <c r="G1" s="285" t="s">
        <v>132</v>
      </c>
      <c r="H1" s="286"/>
      <c r="I1" s="287"/>
      <c r="K1" s="158" t="s">
        <v>267</v>
      </c>
    </row>
    <row r="2" spans="1:11" ht="14.65" thickBot="1">
      <c r="A2" s="32" t="s">
        <v>48</v>
      </c>
      <c r="B2" s="33">
        <v>172209977.52000001</v>
      </c>
      <c r="C2" s="33">
        <v>103255584.67</v>
      </c>
      <c r="D2" s="36">
        <f>C2/B2</f>
        <v>0.59959118604500239</v>
      </c>
      <c r="E2" s="38">
        <f>B2/SUM($B$2:$B$52)</f>
        <v>1.5973209816961531E-3</v>
      </c>
      <c r="F2" s="39"/>
      <c r="G2" s="68"/>
      <c r="H2" s="69"/>
      <c r="I2" s="70"/>
    </row>
    <row r="3" spans="1:11" ht="14.65" thickBot="1">
      <c r="A3" s="32" t="s">
        <v>49</v>
      </c>
      <c r="B3" s="33">
        <v>1220411304.5</v>
      </c>
      <c r="C3" s="33">
        <v>743842232.01999998</v>
      </c>
      <c r="D3" s="36">
        <f t="shared" ref="D3:D52" si="0">C3/B3</f>
        <v>0.60950126344884248</v>
      </c>
      <c r="E3" s="38">
        <f t="shared" ref="E3:E52" si="1">B3/SUM($B$2:$B$52)</f>
        <v>1.1319835302519716E-2</v>
      </c>
      <c r="F3" s="39"/>
      <c r="G3" s="71" t="s">
        <v>332</v>
      </c>
      <c r="H3" s="211"/>
      <c r="I3" s="72" t="s">
        <v>149</v>
      </c>
      <c r="K3">
        <v>0.621</v>
      </c>
    </row>
    <row r="4" spans="1:11">
      <c r="A4" s="32" t="s">
        <v>50</v>
      </c>
      <c r="B4" s="33">
        <v>686384388.07000005</v>
      </c>
      <c r="C4" s="41">
        <v>394307746.23000002</v>
      </c>
      <c r="D4" s="36">
        <f t="shared" si="0"/>
        <v>0.574470738384258</v>
      </c>
      <c r="E4" s="38">
        <f t="shared" si="1"/>
        <v>6.3665079129666315E-3</v>
      </c>
      <c r="F4" s="39"/>
      <c r="G4" s="71"/>
      <c r="H4" s="73"/>
      <c r="I4" s="72"/>
    </row>
    <row r="5" spans="1:11" ht="14.65" thickBot="1">
      <c r="A5" s="32" t="s">
        <v>51</v>
      </c>
      <c r="B5" s="33">
        <v>2470268446.1500001</v>
      </c>
      <c r="C5" s="41">
        <v>1545768816.53</v>
      </c>
      <c r="D5" s="36">
        <f t="shared" si="0"/>
        <v>0.62574932653134718</v>
      </c>
      <c r="E5" s="38">
        <f t="shared" si="1"/>
        <v>2.2912793301997227E-2</v>
      </c>
      <c r="F5" s="39"/>
      <c r="G5" s="71" t="s">
        <v>334</v>
      </c>
      <c r="H5" s="74"/>
      <c r="I5" s="72"/>
    </row>
    <row r="6" spans="1:11" ht="14.65" thickBot="1">
      <c r="A6" s="32" t="s">
        <v>52</v>
      </c>
      <c r="B6" s="33">
        <v>5371063646.9899998</v>
      </c>
      <c r="C6" s="42">
        <v>4000000000</v>
      </c>
      <c r="D6" s="36">
        <f t="shared" si="0"/>
        <v>0.74473144667381508</v>
      </c>
      <c r="E6" s="38">
        <f t="shared" si="1"/>
        <v>4.981890585501185E-2</v>
      </c>
      <c r="F6" s="39"/>
      <c r="G6" s="71" t="s">
        <v>120</v>
      </c>
      <c r="H6" s="215"/>
      <c r="I6" s="72"/>
      <c r="K6" s="159">
        <v>70169011260</v>
      </c>
    </row>
    <row r="7" spans="1:11" ht="14.65" thickBot="1">
      <c r="A7" s="32" t="s">
        <v>53</v>
      </c>
      <c r="B7" s="33">
        <v>2043512409.0999999</v>
      </c>
      <c r="C7" s="33">
        <v>1265275407.5699999</v>
      </c>
      <c r="D7" s="36">
        <f t="shared" si="0"/>
        <v>0.61916698031075346</v>
      </c>
      <c r="E7" s="38">
        <f t="shared" si="1"/>
        <v>1.8954449065140801E-2</v>
      </c>
      <c r="F7" s="39"/>
      <c r="G7" s="71" t="s">
        <v>121</v>
      </c>
      <c r="H7" s="215"/>
      <c r="I7" s="72"/>
      <c r="K7" s="159">
        <v>107811754490</v>
      </c>
    </row>
    <row r="8" spans="1:11">
      <c r="A8" s="32" t="s">
        <v>54</v>
      </c>
      <c r="B8" s="33">
        <v>1236110611.8699999</v>
      </c>
      <c r="C8" s="33">
        <v>780483200.94000006</v>
      </c>
      <c r="D8" s="36">
        <f t="shared" si="0"/>
        <v>0.63140239509737539</v>
      </c>
      <c r="E8" s="38">
        <f t="shared" si="1"/>
        <v>1.1465453073460344E-2</v>
      </c>
      <c r="F8" s="39"/>
      <c r="G8" s="71" t="s">
        <v>333</v>
      </c>
      <c r="H8" s="210"/>
      <c r="I8" s="72" t="s">
        <v>127</v>
      </c>
      <c r="K8" s="154">
        <f>K6/K7</f>
        <v>0.65084750352067111</v>
      </c>
    </row>
    <row r="9" spans="1:11" ht="14.65" thickBot="1">
      <c r="A9" s="32" t="s">
        <v>55</v>
      </c>
      <c r="B9" s="33">
        <v>120243850.42</v>
      </c>
      <c r="C9" s="33">
        <v>75292594.129999995</v>
      </c>
      <c r="D9" s="36">
        <f t="shared" si="0"/>
        <v>0.62616586101501515</v>
      </c>
      <c r="E9" s="38">
        <f t="shared" si="1"/>
        <v>1.1153129915105733E-3</v>
      </c>
      <c r="F9" s="39"/>
      <c r="G9" s="75"/>
      <c r="H9" s="76"/>
      <c r="I9" s="77"/>
    </row>
    <row r="10" spans="1:11" ht="14.65" thickBot="1">
      <c r="A10" s="32" t="s">
        <v>56</v>
      </c>
      <c r="B10" s="33">
        <v>335682323.73000002</v>
      </c>
      <c r="C10" s="33">
        <v>211115134.71000001</v>
      </c>
      <c r="D10" s="36">
        <f t="shared" si="0"/>
        <v>0.62891346903272338</v>
      </c>
      <c r="E10" s="38">
        <f t="shared" si="1"/>
        <v>3.1135967067655972E-3</v>
      </c>
      <c r="F10" s="39"/>
      <c r="G10" s="71" t="s">
        <v>124</v>
      </c>
      <c r="H10" s="213"/>
      <c r="I10" s="78"/>
      <c r="K10" s="159">
        <v>70169011260</v>
      </c>
    </row>
    <row r="11" spans="1:11" ht="14.65" thickBot="1">
      <c r="A11" s="32" t="s">
        <v>1</v>
      </c>
      <c r="B11" s="33">
        <v>15260951663.469999</v>
      </c>
      <c r="C11" s="42">
        <v>10000000000</v>
      </c>
      <c r="D11" s="36">
        <f t="shared" si="0"/>
        <v>0.65526713015787275</v>
      </c>
      <c r="E11" s="38">
        <f t="shared" si="1"/>
        <v>0.14155183482258107</v>
      </c>
      <c r="F11" s="39"/>
      <c r="G11" s="75" t="s">
        <v>123</v>
      </c>
      <c r="H11" s="214"/>
      <c r="I11" s="78"/>
      <c r="K11" s="159">
        <v>107811754490</v>
      </c>
    </row>
    <row r="12" spans="1:11" ht="14.65" thickBot="1">
      <c r="A12" s="32" t="s">
        <v>2</v>
      </c>
      <c r="B12" s="33">
        <v>5117896726.21</v>
      </c>
      <c r="C12" s="41">
        <v>3042522603.1300001</v>
      </c>
      <c r="D12" s="36">
        <f t="shared" si="0"/>
        <v>0.59448690856704833</v>
      </c>
      <c r="E12" s="38">
        <f t="shared" si="1"/>
        <v>4.7470674699901586E-2</v>
      </c>
      <c r="F12" s="39"/>
      <c r="G12" s="71" t="s">
        <v>335</v>
      </c>
      <c r="H12" s="212"/>
      <c r="I12" s="72" t="s">
        <v>122</v>
      </c>
      <c r="K12" s="154">
        <f>K10/K11</f>
        <v>0.65084750352067111</v>
      </c>
    </row>
    <row r="13" spans="1:11" ht="14.65" thickBot="1">
      <c r="A13" s="32" t="s">
        <v>57</v>
      </c>
      <c r="B13" s="33">
        <v>208852463.90000001</v>
      </c>
      <c r="C13" s="33">
        <v>109112824.25</v>
      </c>
      <c r="D13" s="36">
        <f t="shared" si="0"/>
        <v>0.52243972712835207</v>
      </c>
      <c r="E13" s="38">
        <f t="shared" si="1"/>
        <v>1.9371956693256317E-3</v>
      </c>
      <c r="F13" s="39"/>
      <c r="G13" s="79"/>
      <c r="H13" s="74"/>
      <c r="I13" s="78"/>
    </row>
    <row r="14" spans="1:11" ht="14.65" thickBot="1">
      <c r="A14" s="32" t="s">
        <v>58</v>
      </c>
      <c r="B14" s="33">
        <v>1298844973.5799999</v>
      </c>
      <c r="C14" s="33">
        <v>871184862.15999997</v>
      </c>
      <c r="D14" s="36">
        <f t="shared" si="0"/>
        <v>0.67073814033306645</v>
      </c>
      <c r="E14" s="38">
        <f t="shared" si="1"/>
        <v>1.2047341031845687E-2</v>
      </c>
      <c r="F14" s="39"/>
      <c r="G14" s="79" t="s">
        <v>126</v>
      </c>
      <c r="H14" s="212"/>
      <c r="I14" s="72" t="s">
        <v>128</v>
      </c>
      <c r="J14" s="10"/>
      <c r="K14" s="154">
        <v>0.65084750352067111</v>
      </c>
    </row>
    <row r="15" spans="1:11">
      <c r="A15" s="32" t="s">
        <v>59</v>
      </c>
      <c r="B15" s="33">
        <v>397689173.08999997</v>
      </c>
      <c r="C15" s="33">
        <v>227072430.44</v>
      </c>
      <c r="D15" s="36">
        <f t="shared" si="0"/>
        <v>0.57097966403176847</v>
      </c>
      <c r="E15" s="38">
        <f t="shared" si="1"/>
        <v>3.6887366778517545E-3</v>
      </c>
      <c r="F15" s="39"/>
      <c r="G15" s="79"/>
      <c r="H15" s="74"/>
      <c r="I15" s="78"/>
      <c r="J15" s="10"/>
    </row>
    <row r="16" spans="1:11">
      <c r="A16" s="32" t="s">
        <v>60</v>
      </c>
      <c r="B16" s="33">
        <v>2061169304.8299999</v>
      </c>
      <c r="C16" s="33">
        <v>1337801976.3199999</v>
      </c>
      <c r="D16" s="36">
        <f t="shared" si="0"/>
        <v>0.64905001893104486</v>
      </c>
      <c r="E16" s="38">
        <f t="shared" si="1"/>
        <v>1.9118224302948232E-2</v>
      </c>
      <c r="F16" s="39"/>
      <c r="G16" s="79"/>
      <c r="H16" s="76"/>
      <c r="I16" s="78"/>
      <c r="J16" s="10"/>
    </row>
    <row r="17" spans="1:11">
      <c r="A17" s="32" t="s">
        <v>61</v>
      </c>
      <c r="B17" s="33">
        <v>1865317048.99</v>
      </c>
      <c r="C17" s="33">
        <v>1144038135.76</v>
      </c>
      <c r="D17" s="36">
        <f t="shared" si="0"/>
        <v>0.6133210096264623</v>
      </c>
      <c r="E17" s="38">
        <f t="shared" si="1"/>
        <v>1.7301611107412438E-2</v>
      </c>
      <c r="F17" s="39"/>
      <c r="G17" s="80" t="s">
        <v>133</v>
      </c>
      <c r="H17" s="76"/>
      <c r="I17" s="78"/>
      <c r="J17" s="10"/>
    </row>
    <row r="18" spans="1:11">
      <c r="A18" s="32" t="s">
        <v>62</v>
      </c>
      <c r="B18" s="33">
        <v>901175684.54999995</v>
      </c>
      <c r="C18" s="33">
        <v>562671968.04999995</v>
      </c>
      <c r="D18" s="36">
        <f t="shared" si="0"/>
        <v>0.62437544387470789</v>
      </c>
      <c r="E18" s="38">
        <f t="shared" si="1"/>
        <v>8.3587887871301361E-3</v>
      </c>
      <c r="F18" s="39"/>
      <c r="G18" s="80" t="s">
        <v>330</v>
      </c>
      <c r="H18" s="74"/>
      <c r="I18" s="78"/>
      <c r="J18" s="10"/>
      <c r="K18" s="284"/>
    </row>
    <row r="19" spans="1:11">
      <c r="A19" s="32" t="s">
        <v>63</v>
      </c>
      <c r="B19" s="33">
        <v>1166234302.9100001</v>
      </c>
      <c r="C19" s="33">
        <v>718247486.94000006</v>
      </c>
      <c r="D19" s="36">
        <f t="shared" si="0"/>
        <v>0.61586894258539759</v>
      </c>
      <c r="E19" s="38">
        <f t="shared" si="1"/>
        <v>1.0817320508595872E-2</v>
      </c>
      <c r="F19" s="39"/>
      <c r="G19" s="80" t="s">
        <v>331</v>
      </c>
      <c r="H19" s="74"/>
      <c r="I19" s="81"/>
      <c r="J19" s="10"/>
      <c r="K19" s="284"/>
    </row>
    <row r="20" spans="1:11" ht="14.65" thickBot="1">
      <c r="A20" s="32" t="s">
        <v>64</v>
      </c>
      <c r="B20" s="33">
        <v>2922705057.4099998</v>
      </c>
      <c r="C20" s="41">
        <v>1767280877.1700001</v>
      </c>
      <c r="D20" s="36">
        <f t="shared" si="0"/>
        <v>0.60467301436707521</v>
      </c>
      <c r="E20" s="38">
        <f t="shared" si="1"/>
        <v>2.7109335816319153E-2</v>
      </c>
      <c r="F20" s="39"/>
      <c r="G20" s="79"/>
      <c r="H20" s="74"/>
      <c r="I20" s="82"/>
      <c r="J20" s="10"/>
    </row>
    <row r="21" spans="1:11" ht="14.65" thickBot="1">
      <c r="A21" s="32" t="s">
        <v>65</v>
      </c>
      <c r="B21" s="33">
        <v>1051359730.71</v>
      </c>
      <c r="C21" s="41">
        <v>623640698.23000002</v>
      </c>
      <c r="D21" s="36">
        <f t="shared" si="0"/>
        <v>0.59317537091595229</v>
      </c>
      <c r="E21" s="38">
        <f t="shared" si="1"/>
        <v>9.75180986234357E-3</v>
      </c>
      <c r="F21" s="39"/>
      <c r="G21" s="80" t="s">
        <v>131</v>
      </c>
      <c r="H21" s="74"/>
      <c r="I21" s="160"/>
      <c r="J21" s="10"/>
    </row>
    <row r="22" spans="1:11" ht="14.65" thickBot="1">
      <c r="A22" s="32" t="s">
        <v>66</v>
      </c>
      <c r="B22" s="33">
        <v>1455479803.54</v>
      </c>
      <c r="C22" s="33">
        <v>905496682.02999997</v>
      </c>
      <c r="D22" s="36">
        <f t="shared" si="0"/>
        <v>0.6221293348266751</v>
      </c>
      <c r="E22" s="38">
        <f t="shared" si="1"/>
        <v>1.3500195877787818E-2</v>
      </c>
      <c r="F22" s="39"/>
      <c r="G22" s="83" t="s">
        <v>129</v>
      </c>
      <c r="H22" s="76"/>
      <c r="I22" s="161"/>
      <c r="J22" s="10"/>
      <c r="K22" s="8" t="s">
        <v>268</v>
      </c>
    </row>
    <row r="23" spans="1:11">
      <c r="A23" s="32" t="s">
        <v>67</v>
      </c>
      <c r="B23" s="33">
        <v>420021451.27999997</v>
      </c>
      <c r="C23" s="33">
        <v>263849896.71000001</v>
      </c>
      <c r="D23" s="36">
        <f t="shared" si="0"/>
        <v>0.62818195572137359</v>
      </c>
      <c r="E23" s="38">
        <f t="shared" si="1"/>
        <v>3.8958780818265592E-3</v>
      </c>
      <c r="F23" s="39"/>
      <c r="G23" s="80" t="s">
        <v>130</v>
      </c>
      <c r="H23" s="74"/>
      <c r="I23" s="78"/>
      <c r="J23" s="10"/>
    </row>
    <row r="24" spans="1:11">
      <c r="A24" s="32" t="s">
        <v>68</v>
      </c>
      <c r="B24" s="33">
        <v>5230755363.2799997</v>
      </c>
      <c r="C24" s="42">
        <v>4000000000</v>
      </c>
      <c r="D24" s="36">
        <f t="shared" si="0"/>
        <v>0.76470790969886959</v>
      </c>
      <c r="E24" s="38">
        <f t="shared" si="1"/>
        <v>4.8517486688112926E-2</v>
      </c>
      <c r="F24" s="39"/>
      <c r="G24" s="75"/>
      <c r="H24" s="74"/>
      <c r="I24" s="78"/>
      <c r="J24" s="10"/>
    </row>
    <row r="25" spans="1:11">
      <c r="A25" s="32" t="s">
        <v>69</v>
      </c>
      <c r="B25" s="33">
        <v>2625303413.3099999</v>
      </c>
      <c r="C25" s="33">
        <v>1672123388.96</v>
      </c>
      <c r="D25" s="36">
        <f t="shared" si="0"/>
        <v>0.63692576655426503</v>
      </c>
      <c r="E25" s="38">
        <f t="shared" si="1"/>
        <v>2.4350808738196221E-2</v>
      </c>
      <c r="F25" s="39"/>
      <c r="G25" s="75"/>
      <c r="H25" s="74"/>
      <c r="I25" s="78"/>
      <c r="J25" s="10"/>
    </row>
    <row r="26" spans="1:11" ht="14.65" thickBot="1">
      <c r="A26" s="32" t="s">
        <v>70</v>
      </c>
      <c r="B26" s="33">
        <v>1792950640.5799999</v>
      </c>
      <c r="C26" s="11">
        <v>1095732651.54</v>
      </c>
      <c r="D26" s="36">
        <f t="shared" si="0"/>
        <v>0.61113375167179307</v>
      </c>
      <c r="E26" s="38">
        <f t="shared" si="1"/>
        <v>1.6630381808228182E-2</v>
      </c>
      <c r="F26" s="39"/>
      <c r="G26" s="84"/>
      <c r="H26" s="85"/>
      <c r="I26" s="86"/>
      <c r="J26" s="10"/>
    </row>
    <row r="27" spans="1:11">
      <c r="A27" s="32" t="s">
        <v>71</v>
      </c>
      <c r="B27" s="33">
        <v>901392659.97000003</v>
      </c>
      <c r="C27" s="33">
        <v>555321928.00999999</v>
      </c>
      <c r="D27" s="36">
        <f t="shared" si="0"/>
        <v>0.61607105612384516</v>
      </c>
      <c r="E27" s="38">
        <f t="shared" si="1"/>
        <v>8.3608013266813826E-3</v>
      </c>
      <c r="F27" s="39"/>
      <c r="G27" s="9"/>
      <c r="I27" s="10"/>
      <c r="J27" s="10"/>
    </row>
    <row r="28" spans="1:11">
      <c r="A28" s="32" t="s">
        <v>72</v>
      </c>
      <c r="B28" s="33">
        <v>406363748.57999998</v>
      </c>
      <c r="C28" s="33">
        <v>245550636.22999999</v>
      </c>
      <c r="D28" s="36">
        <f t="shared" si="0"/>
        <v>0.60426314376726187</v>
      </c>
      <c r="E28" s="38">
        <f t="shared" si="1"/>
        <v>3.7691970648573506E-3</v>
      </c>
      <c r="F28" s="39"/>
      <c r="G28" s="9"/>
      <c r="I28" s="10"/>
      <c r="J28" s="10"/>
    </row>
    <row r="29" spans="1:11">
      <c r="A29" s="32" t="s">
        <v>73</v>
      </c>
      <c r="B29" s="33">
        <v>1883064993.98</v>
      </c>
      <c r="C29" s="33">
        <v>1180922353.95</v>
      </c>
      <c r="D29" s="36">
        <f t="shared" si="0"/>
        <v>0.62712777186412005</v>
      </c>
      <c r="E29" s="38">
        <f t="shared" si="1"/>
        <v>1.7466230865934986E-2</v>
      </c>
      <c r="F29" s="39"/>
      <c r="G29" s="40"/>
      <c r="I29" s="8"/>
      <c r="J29" s="10"/>
    </row>
    <row r="30" spans="1:11">
      <c r="A30" s="32" t="s">
        <v>74</v>
      </c>
      <c r="B30" s="33">
        <v>324640745.88</v>
      </c>
      <c r="C30" s="33">
        <v>201986429.81</v>
      </c>
      <c r="D30" s="36">
        <f t="shared" si="0"/>
        <v>0.62218446813408368</v>
      </c>
      <c r="E30" s="38">
        <f t="shared" si="1"/>
        <v>3.0111813634456186E-3</v>
      </c>
      <c r="F30" s="39"/>
      <c r="G30" s="40"/>
      <c r="I30" s="10"/>
      <c r="J30" s="10"/>
    </row>
    <row r="31" spans="1:11">
      <c r="A31" s="32" t="s">
        <v>75</v>
      </c>
      <c r="B31" s="33">
        <v>750441480.63</v>
      </c>
      <c r="C31" s="33">
        <v>455408057.06999999</v>
      </c>
      <c r="D31" s="36">
        <f t="shared" si="0"/>
        <v>0.60685352399188042</v>
      </c>
      <c r="E31" s="38">
        <f t="shared" si="1"/>
        <v>6.9606647640739223E-3</v>
      </c>
      <c r="F31" s="39"/>
      <c r="G31" s="40"/>
      <c r="I31" s="10"/>
      <c r="J31" s="10"/>
    </row>
    <row r="32" spans="1:11">
      <c r="A32" s="32" t="s">
        <v>76</v>
      </c>
      <c r="B32" s="33">
        <v>429491140.94</v>
      </c>
      <c r="C32" s="33">
        <v>263274742.08000001</v>
      </c>
      <c r="D32" s="36">
        <f t="shared" si="0"/>
        <v>0.61299225288742232</v>
      </c>
      <c r="E32" s="38">
        <f t="shared" si="1"/>
        <v>3.9837134918411293E-3</v>
      </c>
      <c r="F32" s="39"/>
      <c r="G32" s="40"/>
      <c r="I32" s="10"/>
      <c r="J32" s="10"/>
    </row>
    <row r="33" spans="1:10">
      <c r="A33" s="32" t="s">
        <v>77</v>
      </c>
      <c r="B33" s="33">
        <v>3647621814.3899999</v>
      </c>
      <c r="C33" s="11">
        <v>2142790746.78</v>
      </c>
      <c r="D33" s="36">
        <f t="shared" si="0"/>
        <v>0.58744871475617699</v>
      </c>
      <c r="E33" s="38">
        <f t="shared" si="1"/>
        <v>3.3833247883335173E-2</v>
      </c>
      <c r="F33" s="39"/>
      <c r="G33" s="40"/>
      <c r="I33" s="10"/>
      <c r="J33" s="10"/>
    </row>
    <row r="34" spans="1:10">
      <c r="A34" s="32" t="s">
        <v>78</v>
      </c>
      <c r="B34" s="33">
        <v>807770827.55999994</v>
      </c>
      <c r="C34" s="33">
        <v>464519311.75</v>
      </c>
      <c r="D34" s="36">
        <f t="shared" si="0"/>
        <v>0.57506324306505885</v>
      </c>
      <c r="E34" s="38">
        <f t="shared" si="1"/>
        <v>7.4924189053668776E-3</v>
      </c>
      <c r="F34" s="39"/>
      <c r="G34" s="9"/>
      <c r="I34" s="10"/>
      <c r="J34" s="10"/>
    </row>
    <row r="35" spans="1:10">
      <c r="A35" s="32" t="s">
        <v>79</v>
      </c>
      <c r="B35" s="33">
        <v>1265776159.1700001</v>
      </c>
      <c r="C35" s="33">
        <v>746978701.30999994</v>
      </c>
      <c r="D35" s="36">
        <f t="shared" si="0"/>
        <v>0.59013491121511708</v>
      </c>
      <c r="E35" s="38">
        <f t="shared" si="1"/>
        <v>1.1740613675756378E-2</v>
      </c>
      <c r="F35" s="39"/>
      <c r="G35" s="9"/>
      <c r="I35" s="10"/>
      <c r="J35" s="10"/>
    </row>
    <row r="36" spans="1:10">
      <c r="A36" s="32" t="s">
        <v>80</v>
      </c>
      <c r="B36" s="33">
        <v>5682203106.4399996</v>
      </c>
      <c r="C36" s="42">
        <v>4000000000</v>
      </c>
      <c r="D36" s="36">
        <f t="shared" si="0"/>
        <v>0.70395230953053178</v>
      </c>
      <c r="E36" s="38">
        <f t="shared" si="1"/>
        <v>5.2704857029097364E-2</v>
      </c>
      <c r="F36" s="39"/>
      <c r="G36" s="9"/>
      <c r="I36" s="10"/>
      <c r="J36" s="10"/>
    </row>
    <row r="37" spans="1:10">
      <c r="A37" s="32" t="s">
        <v>81</v>
      </c>
      <c r="B37" s="33">
        <v>3961621344.3200002</v>
      </c>
      <c r="C37" s="33">
        <v>2553257237.5500002</v>
      </c>
      <c r="D37" s="36">
        <f t="shared" si="0"/>
        <v>0.64449805158959705</v>
      </c>
      <c r="E37" s="38">
        <f t="shared" si="1"/>
        <v>3.6745727430820559E-2</v>
      </c>
      <c r="F37" s="39"/>
      <c r="G37" s="9"/>
      <c r="I37" s="10"/>
      <c r="J37" s="10"/>
    </row>
    <row r="38" spans="1:10">
      <c r="A38" s="32" t="s">
        <v>82</v>
      </c>
      <c r="B38" s="33">
        <v>1217726728.4300001</v>
      </c>
      <c r="C38" s="33">
        <v>713273014.07000005</v>
      </c>
      <c r="D38" s="36">
        <f t="shared" si="0"/>
        <v>0.5857414454469716</v>
      </c>
      <c r="E38" s="38">
        <f t="shared" si="1"/>
        <v>1.1294934714613465E-2</v>
      </c>
      <c r="F38" s="39"/>
      <c r="G38" s="9"/>
      <c r="I38" s="10"/>
      <c r="J38" s="10"/>
    </row>
    <row r="39" spans="1:10">
      <c r="A39" s="32" t="s">
        <v>83</v>
      </c>
      <c r="B39" s="33">
        <v>1693361537.4300001</v>
      </c>
      <c r="C39" s="33">
        <v>1061563854.84</v>
      </c>
      <c r="D39" s="36">
        <f t="shared" si="0"/>
        <v>0.62689734671257868</v>
      </c>
      <c r="E39" s="38">
        <f t="shared" si="1"/>
        <v>1.5706650406014145E-2</v>
      </c>
      <c r="F39" s="39"/>
      <c r="G39" s="9"/>
      <c r="I39" s="10"/>
      <c r="J39" s="10"/>
    </row>
    <row r="40" spans="1:10">
      <c r="A40" s="32" t="s">
        <v>84</v>
      </c>
      <c r="B40" s="33">
        <v>3738401706.75</v>
      </c>
      <c r="C40" s="33">
        <v>2336650207.3400002</v>
      </c>
      <c r="D40" s="36">
        <f t="shared" si="0"/>
        <v>0.6250398942202976</v>
      </c>
      <c r="E40" s="38">
        <f t="shared" si="1"/>
        <v>3.4675270098719908E-2</v>
      </c>
      <c r="F40" s="39"/>
      <c r="G40" s="9"/>
      <c r="I40" s="10"/>
      <c r="J40" s="10"/>
    </row>
    <row r="41" spans="1:10">
      <c r="A41" s="32" t="s">
        <v>85</v>
      </c>
      <c r="B41" s="33">
        <v>897801636.60000002</v>
      </c>
      <c r="C41" s="33">
        <v>522478590.23000002</v>
      </c>
      <c r="D41" s="36">
        <f t="shared" si="0"/>
        <v>0.58195326108854184</v>
      </c>
      <c r="E41" s="38">
        <f t="shared" si="1"/>
        <v>8.3274930535065829E-3</v>
      </c>
      <c r="F41" s="39"/>
      <c r="G41" s="9"/>
      <c r="I41" s="10"/>
      <c r="J41" s="10"/>
    </row>
    <row r="42" spans="1:10">
      <c r="A42" s="32" t="s">
        <v>86</v>
      </c>
      <c r="B42" s="33">
        <v>2033082713.1800001</v>
      </c>
      <c r="C42" s="33">
        <v>1232621835.47</v>
      </c>
      <c r="D42" s="36">
        <f t="shared" si="0"/>
        <v>0.60628218787125621</v>
      </c>
      <c r="E42" s="38">
        <f t="shared" si="1"/>
        <v>1.8857709187663076E-2</v>
      </c>
      <c r="F42" s="39"/>
      <c r="G42" s="9"/>
      <c r="I42" s="10"/>
      <c r="J42" s="10"/>
    </row>
    <row r="43" spans="1:10">
      <c r="A43" s="32" t="s">
        <v>87</v>
      </c>
      <c r="B43" s="33">
        <v>316390425.68000001</v>
      </c>
      <c r="C43" s="33">
        <v>197065461.30000001</v>
      </c>
      <c r="D43" s="36">
        <f t="shared" si="0"/>
        <v>0.6228553246403028</v>
      </c>
      <c r="E43" s="38">
        <f t="shared" si="1"/>
        <v>2.9346561251815287E-3</v>
      </c>
      <c r="F43" s="39"/>
      <c r="G43" s="9"/>
      <c r="I43" s="10"/>
      <c r="J43" s="10"/>
    </row>
    <row r="44" spans="1:10">
      <c r="A44" s="32" t="s">
        <v>88</v>
      </c>
      <c r="B44" s="33">
        <v>1555896521.5999999</v>
      </c>
      <c r="C44" s="33">
        <v>993195147.34000003</v>
      </c>
      <c r="D44" s="36">
        <f t="shared" si="0"/>
        <v>0.63834267481917872</v>
      </c>
      <c r="E44" s="38">
        <f t="shared" si="1"/>
        <v>1.4431603761234505E-2</v>
      </c>
      <c r="F44" s="39"/>
      <c r="G44" s="9"/>
      <c r="I44" s="10"/>
      <c r="J44" s="10"/>
    </row>
    <row r="45" spans="1:10">
      <c r="A45" s="32" t="s">
        <v>3</v>
      </c>
      <c r="B45" s="33">
        <v>10525458803.58</v>
      </c>
      <c r="C45" s="42">
        <v>7700000000</v>
      </c>
      <c r="D45" s="36">
        <f t="shared" si="0"/>
        <v>0.73155955894112823</v>
      </c>
      <c r="E45" s="38">
        <f t="shared" si="1"/>
        <v>9.7628119061709179E-2</v>
      </c>
      <c r="F45" s="39"/>
      <c r="G45" s="9"/>
      <c r="I45" s="10"/>
      <c r="J45" s="10"/>
    </row>
    <row r="46" spans="1:10">
      <c r="A46" s="32" t="s">
        <v>89</v>
      </c>
      <c r="B46" s="33">
        <v>696379719.38</v>
      </c>
      <c r="C46" s="33">
        <v>424414274.51999998</v>
      </c>
      <c r="D46" s="36">
        <f t="shared" si="0"/>
        <v>0.60945811991461218</v>
      </c>
      <c r="E46" s="38">
        <f t="shared" si="1"/>
        <v>6.4592188734486581E-3</v>
      </c>
      <c r="F46" s="39"/>
      <c r="G46" s="9"/>
      <c r="I46" s="10"/>
      <c r="J46" s="10"/>
    </row>
    <row r="47" spans="1:10">
      <c r="A47" s="32" t="s">
        <v>90</v>
      </c>
      <c r="B47" s="33">
        <v>2239116238.1999998</v>
      </c>
      <c r="C47" s="33">
        <v>1428104350.8599999</v>
      </c>
      <c r="D47" s="36">
        <f t="shared" si="0"/>
        <v>0.63779821989412966</v>
      </c>
      <c r="E47" s="38">
        <f t="shared" si="1"/>
        <v>2.0768757996719706E-2</v>
      </c>
      <c r="F47" s="39"/>
      <c r="G47" s="9"/>
      <c r="I47" s="10"/>
      <c r="J47" s="10"/>
    </row>
    <row r="48" spans="1:10">
      <c r="A48" s="32" t="s">
        <v>91</v>
      </c>
      <c r="B48" s="33">
        <v>257969637.59</v>
      </c>
      <c r="C48" s="33">
        <v>139713610.31999999</v>
      </c>
      <c r="D48" s="36">
        <f t="shared" si="0"/>
        <v>0.54158935766716709</v>
      </c>
      <c r="E48" s="38">
        <f t="shared" si="1"/>
        <v>2.3927784016765465E-3</v>
      </c>
      <c r="F48" s="39"/>
      <c r="G48" s="9"/>
      <c r="I48" s="10"/>
      <c r="J48" s="10"/>
    </row>
    <row r="49" spans="1:10">
      <c r="A49" s="32" t="s">
        <v>92</v>
      </c>
      <c r="B49" s="33">
        <v>2274265769.98</v>
      </c>
      <c r="C49" s="11">
        <v>1309514356.0899999</v>
      </c>
      <c r="D49" s="36">
        <f t="shared" si="0"/>
        <v>0.57579653766741423</v>
      </c>
      <c r="E49" s="38">
        <f t="shared" si="1"/>
        <v>2.1094784893752834E-2</v>
      </c>
      <c r="F49" s="39"/>
      <c r="G49" s="9"/>
      <c r="I49" s="10"/>
      <c r="J49" s="10"/>
    </row>
    <row r="50" spans="1:10">
      <c r="A50" s="32" t="s">
        <v>93</v>
      </c>
      <c r="B50" s="33">
        <v>2305667869.8600001</v>
      </c>
      <c r="C50" s="33">
        <v>1503186843.3499999</v>
      </c>
      <c r="D50" s="36">
        <f t="shared" si="0"/>
        <v>0.65195289529765321</v>
      </c>
      <c r="E50" s="38">
        <f t="shared" si="1"/>
        <v>2.1386052761793853E-2</v>
      </c>
      <c r="F50" s="39"/>
      <c r="G50" s="9"/>
      <c r="I50" s="10"/>
      <c r="J50" s="10"/>
    </row>
    <row r="51" spans="1:10">
      <c r="A51" s="32" t="s">
        <v>94</v>
      </c>
      <c r="B51" s="33">
        <v>337322923.49000001</v>
      </c>
      <c r="C51" s="33">
        <v>180474015.41999999</v>
      </c>
      <c r="D51" s="36">
        <f t="shared" si="0"/>
        <v>0.53501853225029983</v>
      </c>
      <c r="E51" s="38">
        <f t="shared" si="1"/>
        <v>3.1288139691853039E-3</v>
      </c>
      <c r="F51" s="39"/>
      <c r="G51" s="9"/>
      <c r="I51" s="10"/>
      <c r="J51" s="10"/>
    </row>
    <row r="52" spans="1:10">
      <c r="A52" s="32" t="s">
        <v>95</v>
      </c>
      <c r="B52" s="33">
        <v>229930476.18000001</v>
      </c>
      <c r="C52" s="33">
        <v>156628355.99000001</v>
      </c>
      <c r="D52" s="36">
        <f t="shared" si="0"/>
        <v>0.68119876317476169</v>
      </c>
      <c r="E52" s="38">
        <f t="shared" si="1"/>
        <v>2.1327032220943612E-3</v>
      </c>
      <c r="F52" s="39"/>
      <c r="G52" s="9"/>
      <c r="I52" s="10"/>
      <c r="J52" s="10"/>
    </row>
    <row r="53" spans="1:10">
      <c r="E53" s="9"/>
      <c r="F53" s="9"/>
      <c r="G53" s="9"/>
      <c r="I53" s="10"/>
      <c r="J53" s="10"/>
    </row>
    <row r="54" spans="1:10">
      <c r="E54" s="9"/>
      <c r="F54" s="9"/>
      <c r="G54" s="9"/>
      <c r="I54" s="10"/>
      <c r="J54" s="10"/>
    </row>
    <row r="55" spans="1:10">
      <c r="E55" s="9"/>
      <c r="F55" s="9"/>
      <c r="G55" s="9"/>
      <c r="I55" s="10"/>
      <c r="J55" s="10"/>
    </row>
    <row r="56" spans="1:10">
      <c r="G56" s="9"/>
      <c r="I56" s="10"/>
      <c r="J56" s="10"/>
    </row>
    <row r="57" spans="1:10">
      <c r="G57" s="9"/>
      <c r="I57" s="10"/>
      <c r="J57" s="10"/>
    </row>
    <row r="58" spans="1:10">
      <c r="G58" s="9"/>
      <c r="I58" s="10"/>
      <c r="J58" s="10"/>
    </row>
    <row r="59" spans="1:10">
      <c r="G59" s="9"/>
      <c r="I59" s="10"/>
      <c r="J59" s="10"/>
    </row>
    <row r="60" spans="1:10">
      <c r="G60" s="9"/>
      <c r="I60" s="10"/>
      <c r="J60" s="10"/>
    </row>
    <row r="61" spans="1:10">
      <c r="G61" s="9"/>
      <c r="I61" s="10"/>
      <c r="J61" s="10"/>
    </row>
    <row r="62" spans="1:10">
      <c r="G62" s="9"/>
      <c r="I62" s="10"/>
      <c r="J62" s="10"/>
    </row>
    <row r="63" spans="1:10">
      <c r="G63" s="9"/>
      <c r="I63" s="10"/>
      <c r="J63" s="10"/>
    </row>
    <row r="64" spans="1:10">
      <c r="G64" s="9"/>
      <c r="I64" s="10"/>
      <c r="J64" s="10"/>
    </row>
    <row r="65" spans="7:10">
      <c r="G65" s="9"/>
      <c r="I65" s="10"/>
      <c r="J65" s="10"/>
    </row>
    <row r="66" spans="7:10">
      <c r="G66" s="9"/>
      <c r="I66" s="10"/>
      <c r="J66" s="10"/>
    </row>
    <row r="67" spans="7:10">
      <c r="G67" s="9"/>
      <c r="I67" s="10"/>
      <c r="J67" s="10"/>
    </row>
    <row r="68" spans="7:10">
      <c r="G68" s="9"/>
      <c r="I68" s="10"/>
      <c r="J68" s="10"/>
    </row>
    <row r="69" spans="7:10">
      <c r="G69" s="9"/>
      <c r="I69" s="10"/>
      <c r="J69" s="10"/>
    </row>
    <row r="70" spans="7:10">
      <c r="G70" s="9"/>
      <c r="I70" s="10"/>
      <c r="J70" s="10"/>
    </row>
    <row r="71" spans="7:10">
      <c r="G71" s="9"/>
      <c r="I71" s="10"/>
      <c r="J71" s="10"/>
    </row>
    <row r="72" spans="7:10">
      <c r="G72" s="9"/>
      <c r="I72" s="10"/>
      <c r="J72" s="10"/>
    </row>
    <row r="73" spans="7:10">
      <c r="G73" s="9"/>
      <c r="I73" s="10"/>
      <c r="J73" s="10"/>
    </row>
    <row r="74" spans="7:10">
      <c r="G74" s="9"/>
      <c r="I74" s="10"/>
      <c r="J74" s="10"/>
    </row>
    <row r="75" spans="7:10">
      <c r="G75" s="9"/>
      <c r="I75" s="10"/>
      <c r="J75" s="10"/>
    </row>
    <row r="76" spans="7:10">
      <c r="G76" s="9"/>
      <c r="I76" s="10"/>
      <c r="J76" s="10"/>
    </row>
    <row r="77" spans="7:10">
      <c r="G77" s="9"/>
      <c r="I77" s="10"/>
      <c r="J77" s="10"/>
    </row>
    <row r="78" spans="7:10">
      <c r="G78" s="9"/>
      <c r="I78" s="10"/>
      <c r="J78" s="10"/>
    </row>
    <row r="79" spans="7:10">
      <c r="G79" s="9"/>
      <c r="I79" s="10"/>
      <c r="J79" s="10"/>
    </row>
    <row r="80" spans="7:10">
      <c r="G80" s="9"/>
      <c r="I80" s="10"/>
      <c r="J80" s="10"/>
    </row>
    <row r="81" spans="7:10">
      <c r="G81" s="9"/>
      <c r="I81" s="10"/>
      <c r="J81" s="10"/>
    </row>
    <row r="82" spans="7:10">
      <c r="G82" s="9"/>
      <c r="I82" s="10"/>
      <c r="J82" s="10"/>
    </row>
    <row r="83" spans="7:10">
      <c r="G83" s="9"/>
      <c r="I83" s="10"/>
      <c r="J83" s="10"/>
    </row>
    <row r="84" spans="7:10">
      <c r="G84" s="9"/>
      <c r="I84" s="10"/>
      <c r="J84" s="10"/>
    </row>
    <row r="85" spans="7:10">
      <c r="G85" s="9"/>
      <c r="I85" s="10"/>
      <c r="J85" s="10"/>
    </row>
    <row r="86" spans="7:10">
      <c r="G86" s="9"/>
      <c r="I86" s="10"/>
      <c r="J86" s="10"/>
    </row>
    <row r="87" spans="7:10">
      <c r="G87" s="9"/>
      <c r="I87" s="10"/>
      <c r="J87" s="10"/>
    </row>
    <row r="88" spans="7:10">
      <c r="G88" s="9"/>
      <c r="I88" s="10"/>
      <c r="J88" s="10"/>
    </row>
    <row r="89" spans="7:10">
      <c r="G89" s="9"/>
      <c r="I89" s="10"/>
      <c r="J89" s="10"/>
    </row>
    <row r="90" spans="7:10">
      <c r="G90" s="9"/>
      <c r="I90" s="10"/>
      <c r="J90" s="10"/>
    </row>
    <row r="91" spans="7:10">
      <c r="G91" s="9"/>
      <c r="I91" s="10"/>
      <c r="J91" s="10"/>
    </row>
    <row r="92" spans="7:10">
      <c r="G92" s="9"/>
      <c r="I92" s="10"/>
      <c r="J92" s="10"/>
    </row>
    <row r="93" spans="7:10">
      <c r="G93" s="9"/>
      <c r="I93" s="10"/>
      <c r="J93" s="10"/>
    </row>
    <row r="94" spans="7:10">
      <c r="G94" s="9"/>
      <c r="I94" s="10"/>
      <c r="J94" s="10"/>
    </row>
    <row r="95" spans="7:10">
      <c r="G95" s="9"/>
      <c r="I95" s="10"/>
      <c r="J95" s="10"/>
    </row>
    <row r="96" spans="7:10">
      <c r="G96" s="9"/>
      <c r="I96" s="10"/>
      <c r="J96" s="10"/>
    </row>
    <row r="97" spans="7:10">
      <c r="G97" s="9"/>
      <c r="I97" s="10"/>
      <c r="J97" s="10"/>
    </row>
    <row r="98" spans="7:10">
      <c r="G98" s="9"/>
      <c r="I98" s="10"/>
      <c r="J98" s="10"/>
    </row>
    <row r="99" spans="7:10">
      <c r="G99" s="9"/>
      <c r="I99" s="10"/>
    </row>
    <row r="100" spans="7:10">
      <c r="G100" s="9"/>
    </row>
    <row r="101" spans="7:10">
      <c r="G101" s="9"/>
    </row>
    <row r="102" spans="7:10">
      <c r="G102" s="9"/>
    </row>
    <row r="103" spans="7:10">
      <c r="G103" s="9"/>
    </row>
    <row r="104" spans="7:10">
      <c r="G104" s="9"/>
    </row>
  </sheetData>
  <sortState xmlns:xlrd2="http://schemas.microsoft.com/office/spreadsheetml/2017/richdata2" ref="A2:C52">
    <sortCondition ref="A1:A52"/>
  </sortState>
  <mergeCells count="2">
    <mergeCell ref="K18:K19"/>
    <mergeCell ref="G1:I1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261C-97EA-41B5-BF59-6BEDB8C34B22}">
  <dimension ref="A1:Q37"/>
  <sheetViews>
    <sheetView showGridLines="0" zoomScale="90" zoomScaleNormal="90" workbookViewId="0">
      <selection activeCell="A20" sqref="A20"/>
    </sheetView>
  </sheetViews>
  <sheetFormatPr defaultRowHeight="14.25"/>
  <cols>
    <col min="1" max="1" width="6.46484375" style="19" bestFit="1" customWidth="1"/>
    <col min="2" max="3" width="8.73046875" style="19"/>
    <col min="4" max="4" width="5.9296875" customWidth="1"/>
    <col min="12" max="12" width="10.19921875" customWidth="1"/>
    <col min="13" max="13" width="8.86328125" customWidth="1"/>
    <col min="14" max="14" width="17.59765625" customWidth="1"/>
    <col min="15" max="17" width="8.73046875" style="19"/>
  </cols>
  <sheetData>
    <row r="1" spans="1:17">
      <c r="A1" s="28" t="s">
        <v>271</v>
      </c>
      <c r="B1" s="28" t="s">
        <v>270</v>
      </c>
      <c r="C1" s="28" t="s">
        <v>272</v>
      </c>
      <c r="E1" s="166" t="s">
        <v>273</v>
      </c>
      <c r="F1" s="167"/>
      <c r="G1" s="167"/>
      <c r="H1" s="167"/>
      <c r="I1" s="167"/>
      <c r="J1" s="167"/>
      <c r="K1" s="167"/>
      <c r="L1" s="168"/>
      <c r="N1" s="141" t="s">
        <v>274</v>
      </c>
      <c r="O1" s="28" t="s">
        <v>271</v>
      </c>
      <c r="P1" s="28" t="s">
        <v>270</v>
      </c>
      <c r="Q1" s="28" t="s">
        <v>272</v>
      </c>
    </row>
    <row r="2" spans="1:17">
      <c r="A2" s="153">
        <v>1</v>
      </c>
      <c r="B2" s="20">
        <v>0.81</v>
      </c>
      <c r="C2" s="217"/>
      <c r="E2" s="169" t="s">
        <v>275</v>
      </c>
      <c r="F2" s="170"/>
      <c r="G2" s="170"/>
      <c r="H2" s="170"/>
      <c r="I2" s="170"/>
      <c r="J2" s="170"/>
      <c r="K2" s="170"/>
      <c r="L2" s="171"/>
      <c r="O2" s="153">
        <v>1</v>
      </c>
      <c r="P2" s="20">
        <v>0.81</v>
      </c>
      <c r="Q2" s="20"/>
    </row>
    <row r="3" spans="1:17">
      <c r="A3" s="153">
        <v>2</v>
      </c>
      <c r="B3" s="20">
        <v>0.85</v>
      </c>
      <c r="C3" s="217"/>
      <c r="E3" s="172" t="s">
        <v>336</v>
      </c>
      <c r="F3" s="173"/>
      <c r="G3" s="173"/>
      <c r="H3" s="173"/>
      <c r="I3" s="173"/>
      <c r="J3" s="173"/>
      <c r="K3" s="173"/>
      <c r="L3" s="174"/>
      <c r="O3" s="153">
        <v>2</v>
      </c>
      <c r="P3" s="20">
        <v>0.85</v>
      </c>
      <c r="Q3" s="20"/>
    </row>
    <row r="4" spans="1:17">
      <c r="A4" s="153">
        <v>3</v>
      </c>
      <c r="B4" s="20">
        <v>0.78</v>
      </c>
      <c r="C4" s="217"/>
      <c r="O4" s="153">
        <v>3</v>
      </c>
      <c r="P4" s="20">
        <v>0.78</v>
      </c>
      <c r="Q4" s="20"/>
    </row>
    <row r="5" spans="1:17">
      <c r="A5" s="153">
        <v>4</v>
      </c>
      <c r="B5" s="20">
        <v>0.75</v>
      </c>
      <c r="C5" s="217"/>
      <c r="O5" s="153">
        <v>4</v>
      </c>
      <c r="P5" s="20">
        <v>0.75</v>
      </c>
      <c r="Q5" s="20"/>
    </row>
    <row r="6" spans="1:17">
      <c r="A6" s="153">
        <v>5</v>
      </c>
      <c r="B6" s="20">
        <v>0.69</v>
      </c>
      <c r="C6" s="217"/>
      <c r="O6" s="153">
        <v>5</v>
      </c>
      <c r="P6" s="20">
        <v>0.69</v>
      </c>
      <c r="Q6" s="20"/>
    </row>
    <row r="7" spans="1:17">
      <c r="A7" s="153">
        <v>6</v>
      </c>
      <c r="B7" s="153">
        <v>0.66</v>
      </c>
      <c r="C7" s="217"/>
      <c r="O7" s="153">
        <v>6</v>
      </c>
      <c r="P7" s="153">
        <v>0.66</v>
      </c>
      <c r="Q7" s="20"/>
    </row>
    <row r="8" spans="1:17">
      <c r="A8" s="153">
        <v>7</v>
      </c>
      <c r="B8" s="153">
        <v>0.66</v>
      </c>
      <c r="C8" s="217"/>
      <c r="O8" s="153">
        <v>7</v>
      </c>
      <c r="P8" s="153">
        <v>0.66</v>
      </c>
      <c r="Q8" s="20"/>
    </row>
    <row r="9" spans="1:17">
      <c r="A9" s="153">
        <v>8</v>
      </c>
      <c r="B9" s="153">
        <v>0.64</v>
      </c>
      <c r="C9" s="217"/>
      <c r="O9" s="153">
        <v>8</v>
      </c>
      <c r="P9" s="153">
        <v>0.64</v>
      </c>
      <c r="Q9" s="20"/>
    </row>
    <row r="10" spans="1:17">
      <c r="A10" s="153">
        <v>9</v>
      </c>
      <c r="B10" s="153">
        <v>0.65</v>
      </c>
      <c r="C10" s="217"/>
      <c r="O10" s="153">
        <v>9</v>
      </c>
      <c r="P10" s="153">
        <v>0.65</v>
      </c>
      <c r="Q10" s="20"/>
    </row>
    <row r="11" spans="1:17">
      <c r="A11" s="153">
        <v>10</v>
      </c>
      <c r="B11" s="153">
        <v>0.71</v>
      </c>
      <c r="C11" s="217"/>
      <c r="O11" s="153">
        <v>10</v>
      </c>
      <c r="P11" s="153">
        <v>0.71</v>
      </c>
      <c r="Q11" s="20"/>
    </row>
    <row r="12" spans="1:17">
      <c r="A12" s="153">
        <v>11</v>
      </c>
      <c r="B12" s="153">
        <v>0.77</v>
      </c>
      <c r="C12" s="217"/>
      <c r="O12" s="153">
        <v>11</v>
      </c>
      <c r="P12" s="153">
        <v>0.77</v>
      </c>
      <c r="Q12" s="20"/>
    </row>
    <row r="13" spans="1:17">
      <c r="A13" s="153">
        <f>1+A12</f>
        <v>12</v>
      </c>
      <c r="B13" s="153">
        <v>0.82</v>
      </c>
      <c r="C13" s="217"/>
      <c r="O13" s="153">
        <f>1+O12</f>
        <v>12</v>
      </c>
      <c r="P13" s="153">
        <v>0.82</v>
      </c>
      <c r="Q13" s="20"/>
    </row>
    <row r="14" spans="1:17">
      <c r="A14" s="153">
        <f t="shared" ref="A14:A37" si="0">1+A13</f>
        <v>13</v>
      </c>
      <c r="B14" s="20">
        <f>B2+0.02</f>
        <v>0.83000000000000007</v>
      </c>
      <c r="C14" s="218"/>
      <c r="O14" s="153">
        <f t="shared" ref="O14:O37" si="1">1+O13</f>
        <v>13</v>
      </c>
      <c r="P14" s="20">
        <f>P2+0.02</f>
        <v>0.83000000000000007</v>
      </c>
      <c r="Q14" s="22">
        <f>SUM(P2:P13)/12</f>
        <v>0.73250000000000004</v>
      </c>
    </row>
    <row r="15" spans="1:17">
      <c r="A15" s="153">
        <f t="shared" si="0"/>
        <v>14</v>
      </c>
      <c r="B15" s="20">
        <f t="shared" ref="B15:B27" si="2">B3+0.02</f>
        <v>0.87</v>
      </c>
      <c r="C15" s="218"/>
      <c r="O15" s="153">
        <f t="shared" si="1"/>
        <v>14</v>
      </c>
      <c r="P15" s="20">
        <f t="shared" ref="P15:P27" si="3">P3+0.02</f>
        <v>0.87</v>
      </c>
      <c r="Q15" s="22">
        <f t="shared" ref="Q15:Q37" si="4">SUM(P3:P14)/12</f>
        <v>0.73416666666666675</v>
      </c>
    </row>
    <row r="16" spans="1:17">
      <c r="A16" s="153">
        <f t="shared" si="0"/>
        <v>15</v>
      </c>
      <c r="B16" s="20">
        <f>B4+0.01</f>
        <v>0.79</v>
      </c>
      <c r="C16" s="218"/>
      <c r="O16" s="153">
        <f t="shared" si="1"/>
        <v>15</v>
      </c>
      <c r="P16" s="20">
        <f>P4+0.01</f>
        <v>0.79</v>
      </c>
      <c r="Q16" s="22">
        <f t="shared" si="4"/>
        <v>0.73583333333333334</v>
      </c>
    </row>
    <row r="17" spans="1:17">
      <c r="A17" s="153">
        <f t="shared" si="0"/>
        <v>16</v>
      </c>
      <c r="B17" s="20">
        <f>B5</f>
        <v>0.75</v>
      </c>
      <c r="C17" s="218"/>
      <c r="O17" s="153">
        <f t="shared" si="1"/>
        <v>16</v>
      </c>
      <c r="P17" s="20">
        <f>P5</f>
        <v>0.75</v>
      </c>
      <c r="Q17" s="22">
        <f t="shared" si="4"/>
        <v>0.73666666666666669</v>
      </c>
    </row>
    <row r="18" spans="1:17">
      <c r="A18" s="153">
        <f t="shared" si="0"/>
        <v>17</v>
      </c>
      <c r="B18" s="20">
        <f>B6+0.03</f>
        <v>0.72</v>
      </c>
      <c r="C18" s="218"/>
      <c r="O18" s="153">
        <f t="shared" si="1"/>
        <v>17</v>
      </c>
      <c r="P18" s="20">
        <f>P6+0.03</f>
        <v>0.72</v>
      </c>
      <c r="Q18" s="22">
        <f t="shared" si="4"/>
        <v>0.73666666666666669</v>
      </c>
    </row>
    <row r="19" spans="1:17">
      <c r="A19" s="153">
        <f t="shared" si="0"/>
        <v>18</v>
      </c>
      <c r="B19" s="20">
        <f>B7+0.01</f>
        <v>0.67</v>
      </c>
      <c r="C19" s="218"/>
      <c r="O19" s="153">
        <f t="shared" si="1"/>
        <v>18</v>
      </c>
      <c r="P19" s="20">
        <f>P7+0.01</f>
        <v>0.67</v>
      </c>
      <c r="Q19" s="22">
        <f t="shared" si="4"/>
        <v>0.73916666666666675</v>
      </c>
    </row>
    <row r="20" spans="1:17">
      <c r="A20" s="153">
        <f t="shared" si="0"/>
        <v>19</v>
      </c>
      <c r="B20" s="20">
        <f>B8+0</f>
        <v>0.66</v>
      </c>
      <c r="C20" s="218"/>
      <c r="O20" s="153">
        <f t="shared" si="1"/>
        <v>19</v>
      </c>
      <c r="P20" s="20">
        <f>P8+0</f>
        <v>0.66</v>
      </c>
      <c r="Q20" s="22">
        <f t="shared" si="4"/>
        <v>0.7400000000000001</v>
      </c>
    </row>
    <row r="21" spans="1:17">
      <c r="A21" s="153">
        <f t="shared" si="0"/>
        <v>20</v>
      </c>
      <c r="B21" s="20">
        <f>B9+0.03</f>
        <v>0.67</v>
      </c>
      <c r="C21" s="218"/>
      <c r="O21" s="153">
        <f t="shared" si="1"/>
        <v>20</v>
      </c>
      <c r="P21" s="20">
        <f>P9+0.03</f>
        <v>0.67</v>
      </c>
      <c r="Q21" s="22">
        <f t="shared" si="4"/>
        <v>0.7400000000000001</v>
      </c>
    </row>
    <row r="22" spans="1:17">
      <c r="A22" s="153">
        <f t="shared" si="0"/>
        <v>21</v>
      </c>
      <c r="B22" s="20">
        <f>B10+0.01</f>
        <v>0.66</v>
      </c>
      <c r="C22" s="218"/>
      <c r="O22" s="153">
        <f t="shared" si="1"/>
        <v>21</v>
      </c>
      <c r="P22" s="20">
        <f>P10+0.01</f>
        <v>0.66</v>
      </c>
      <c r="Q22" s="22">
        <f t="shared" si="4"/>
        <v>0.74249999999999983</v>
      </c>
    </row>
    <row r="23" spans="1:17">
      <c r="A23" s="153">
        <f t="shared" si="0"/>
        <v>22</v>
      </c>
      <c r="B23" s="20">
        <f>B11+0.02</f>
        <v>0.73</v>
      </c>
      <c r="C23" s="218"/>
      <c r="O23" s="153">
        <f t="shared" si="1"/>
        <v>22</v>
      </c>
      <c r="P23" s="20">
        <f>P11+0.02</f>
        <v>0.73</v>
      </c>
      <c r="Q23" s="22">
        <f t="shared" si="4"/>
        <v>0.74333333333333329</v>
      </c>
    </row>
    <row r="24" spans="1:17">
      <c r="A24" s="153">
        <f t="shared" si="0"/>
        <v>23</v>
      </c>
      <c r="B24" s="20">
        <f>B12+0</f>
        <v>0.77</v>
      </c>
      <c r="C24" s="218"/>
      <c r="O24" s="153">
        <f t="shared" si="1"/>
        <v>23</v>
      </c>
      <c r="P24" s="20">
        <f>P12+0</f>
        <v>0.77</v>
      </c>
      <c r="Q24" s="22">
        <f t="shared" si="4"/>
        <v>0.745</v>
      </c>
    </row>
    <row r="25" spans="1:17">
      <c r="A25" s="153">
        <f t="shared" si="0"/>
        <v>24</v>
      </c>
      <c r="B25" s="20">
        <f>B13+0.01</f>
        <v>0.83</v>
      </c>
      <c r="C25" s="218"/>
      <c r="O25" s="153">
        <f t="shared" si="1"/>
        <v>24</v>
      </c>
      <c r="P25" s="20">
        <f>P13+0.01</f>
        <v>0.83</v>
      </c>
      <c r="Q25" s="22">
        <f t="shared" si="4"/>
        <v>0.745</v>
      </c>
    </row>
    <row r="26" spans="1:17">
      <c r="A26" s="153">
        <f t="shared" si="0"/>
        <v>25</v>
      </c>
      <c r="B26" s="20">
        <f>B14+0.02</f>
        <v>0.85000000000000009</v>
      </c>
      <c r="C26" s="218"/>
      <c r="O26" s="153">
        <f t="shared" si="1"/>
        <v>25</v>
      </c>
      <c r="P26" s="20">
        <f>P14+0.02</f>
        <v>0.85000000000000009</v>
      </c>
      <c r="Q26" s="22">
        <f>SUM(P14:P25)/12</f>
        <v>0.74583333333333324</v>
      </c>
    </row>
    <row r="27" spans="1:17">
      <c r="A27" s="153">
        <f t="shared" si="0"/>
        <v>26</v>
      </c>
      <c r="B27" s="20">
        <f t="shared" si="2"/>
        <v>0.89</v>
      </c>
      <c r="C27" s="218"/>
      <c r="O27" s="153">
        <f t="shared" si="1"/>
        <v>26</v>
      </c>
      <c r="P27" s="20">
        <f t="shared" si="3"/>
        <v>0.89</v>
      </c>
      <c r="Q27" s="22">
        <f t="shared" si="4"/>
        <v>0.74749999999999994</v>
      </c>
    </row>
    <row r="28" spans="1:17">
      <c r="A28" s="153">
        <f t="shared" si="0"/>
        <v>27</v>
      </c>
      <c r="B28" s="20">
        <f>B16+0.01</f>
        <v>0.8</v>
      </c>
      <c r="C28" s="218"/>
      <c r="O28" s="153">
        <f t="shared" si="1"/>
        <v>27</v>
      </c>
      <c r="P28" s="20">
        <f>P16+0.01</f>
        <v>0.8</v>
      </c>
      <c r="Q28" s="22">
        <f t="shared" si="4"/>
        <v>0.74916666666666665</v>
      </c>
    </row>
    <row r="29" spans="1:17">
      <c r="A29" s="153">
        <f t="shared" si="0"/>
        <v>28</v>
      </c>
      <c r="B29" s="20">
        <f>B17</f>
        <v>0.75</v>
      </c>
      <c r="C29" s="218"/>
      <c r="O29" s="153">
        <f t="shared" si="1"/>
        <v>28</v>
      </c>
      <c r="P29" s="20">
        <f>P17</f>
        <v>0.75</v>
      </c>
      <c r="Q29" s="22">
        <f t="shared" si="4"/>
        <v>0.75</v>
      </c>
    </row>
    <row r="30" spans="1:17">
      <c r="A30" s="153">
        <f t="shared" si="0"/>
        <v>29</v>
      </c>
      <c r="B30" s="20">
        <f>B18+0.03</f>
        <v>0.75</v>
      </c>
      <c r="C30" s="218"/>
      <c r="O30" s="153">
        <f t="shared" si="1"/>
        <v>29</v>
      </c>
      <c r="P30" s="20">
        <f>P18+0.03</f>
        <v>0.75</v>
      </c>
      <c r="Q30" s="22">
        <f t="shared" si="4"/>
        <v>0.75</v>
      </c>
    </row>
    <row r="31" spans="1:17">
      <c r="A31" s="153">
        <f t="shared" si="0"/>
        <v>30</v>
      </c>
      <c r="B31" s="20">
        <f>B19+0.01</f>
        <v>0.68</v>
      </c>
      <c r="C31" s="218"/>
      <c r="O31" s="153">
        <f t="shared" si="1"/>
        <v>30</v>
      </c>
      <c r="P31" s="20">
        <f>P19+0.01</f>
        <v>0.68</v>
      </c>
      <c r="Q31" s="22">
        <f t="shared" si="4"/>
        <v>0.75249999999999995</v>
      </c>
    </row>
    <row r="32" spans="1:17">
      <c r="A32" s="153">
        <f t="shared" si="0"/>
        <v>31</v>
      </c>
      <c r="B32" s="20">
        <f>B20+0</f>
        <v>0.66</v>
      </c>
      <c r="C32" s="218"/>
      <c r="O32" s="153">
        <f t="shared" si="1"/>
        <v>31</v>
      </c>
      <c r="P32" s="20">
        <f>P20+0</f>
        <v>0.66</v>
      </c>
      <c r="Q32" s="22">
        <f t="shared" si="4"/>
        <v>0.7533333333333333</v>
      </c>
    </row>
    <row r="33" spans="1:17">
      <c r="A33" s="153">
        <f t="shared" si="0"/>
        <v>32</v>
      </c>
      <c r="B33" s="20">
        <f>B21+0.03</f>
        <v>0.70000000000000007</v>
      </c>
      <c r="C33" s="218"/>
      <c r="O33" s="153">
        <f t="shared" si="1"/>
        <v>32</v>
      </c>
      <c r="P33" s="20">
        <f>P21+0.03</f>
        <v>0.70000000000000007</v>
      </c>
      <c r="Q33" s="22">
        <f t="shared" si="4"/>
        <v>0.7533333333333333</v>
      </c>
    </row>
    <row r="34" spans="1:17">
      <c r="A34" s="153">
        <f t="shared" si="0"/>
        <v>33</v>
      </c>
      <c r="B34" s="20">
        <f>B22+0.01</f>
        <v>0.67</v>
      </c>
      <c r="C34" s="218"/>
      <c r="O34" s="153">
        <f t="shared" si="1"/>
        <v>33</v>
      </c>
      <c r="P34" s="20">
        <f>P22+0.01</f>
        <v>0.67</v>
      </c>
      <c r="Q34" s="22">
        <f t="shared" si="4"/>
        <v>0.75583333333333325</v>
      </c>
    </row>
    <row r="35" spans="1:17">
      <c r="A35" s="153">
        <f t="shared" si="0"/>
        <v>34</v>
      </c>
      <c r="B35" s="20">
        <f>B23+0.02</f>
        <v>0.75</v>
      </c>
      <c r="C35" s="218"/>
      <c r="O35" s="153">
        <f t="shared" si="1"/>
        <v>34</v>
      </c>
      <c r="P35" s="20">
        <f>P23+0.02</f>
        <v>0.75</v>
      </c>
      <c r="Q35" s="22">
        <f t="shared" si="4"/>
        <v>0.75666666666666671</v>
      </c>
    </row>
    <row r="36" spans="1:17">
      <c r="A36" s="153">
        <f t="shared" si="0"/>
        <v>35</v>
      </c>
      <c r="B36" s="20">
        <f>B24+0</f>
        <v>0.77</v>
      </c>
      <c r="C36" s="218"/>
      <c r="O36" s="153">
        <f t="shared" si="1"/>
        <v>35</v>
      </c>
      <c r="P36" s="20">
        <f>P24+0</f>
        <v>0.77</v>
      </c>
      <c r="Q36" s="22">
        <f t="shared" si="4"/>
        <v>0.75833333333333341</v>
      </c>
    </row>
    <row r="37" spans="1:17">
      <c r="A37" s="153">
        <f t="shared" si="0"/>
        <v>36</v>
      </c>
      <c r="B37" s="20">
        <f>B25+0.01</f>
        <v>0.84</v>
      </c>
      <c r="C37" s="218"/>
      <c r="O37" s="153">
        <f t="shared" si="1"/>
        <v>36</v>
      </c>
      <c r="P37" s="20">
        <f>P25+0.01</f>
        <v>0.84</v>
      </c>
      <c r="Q37" s="22">
        <f t="shared" si="4"/>
        <v>0.7583333333333333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C491-1258-41EB-AD4F-9557991E14A1}">
  <dimension ref="B1:J17"/>
  <sheetViews>
    <sheetView showGridLines="0" zoomScale="80" zoomScaleNormal="80" workbookViewId="0">
      <selection activeCell="J3" sqref="J3:J4"/>
    </sheetView>
  </sheetViews>
  <sheetFormatPr defaultRowHeight="14.25"/>
  <cols>
    <col min="1" max="1" width="4.19921875" customWidth="1"/>
    <col min="2" max="2" width="33.9296875" customWidth="1"/>
    <col min="3" max="3" width="10.796875" customWidth="1"/>
    <col min="5" max="5" width="17.19921875" bestFit="1" customWidth="1"/>
    <col min="8" max="8" width="31.3984375" customWidth="1"/>
    <col min="9" max="9" width="24.46484375" customWidth="1"/>
    <col min="10" max="10" width="8.33203125" bestFit="1" customWidth="1"/>
  </cols>
  <sheetData>
    <row r="1" spans="2:10" s="49" customFormat="1" ht="47.65" thickBot="1">
      <c r="B1" s="288" t="s">
        <v>426</v>
      </c>
      <c r="C1" s="289"/>
      <c r="D1" s="290"/>
      <c r="E1" s="280" t="s">
        <v>265</v>
      </c>
      <c r="J1" s="193" t="s">
        <v>264</v>
      </c>
    </row>
    <row r="2" spans="2:10" ht="14.65" thickBot="1"/>
    <row r="3" spans="2:10" s="49" customFormat="1" ht="20.55" customHeight="1" thickBot="1">
      <c r="B3" s="62" t="s">
        <v>146</v>
      </c>
      <c r="C3" s="48">
        <v>2023</v>
      </c>
      <c r="D3" s="48">
        <v>2022</v>
      </c>
      <c r="E3" s="48" t="s">
        <v>147</v>
      </c>
      <c r="J3" s="51" t="s">
        <v>134</v>
      </c>
    </row>
    <row r="4" spans="2:10">
      <c r="B4" s="64" t="s">
        <v>135</v>
      </c>
      <c r="C4" s="65">
        <v>6057.8</v>
      </c>
      <c r="D4" s="65">
        <v>4625.7</v>
      </c>
      <c r="E4" s="226"/>
      <c r="J4" s="50">
        <f>(C4-D4)/D4</f>
        <v>0.30959638541193774</v>
      </c>
    </row>
    <row r="5" spans="2:10">
      <c r="B5" s="66" t="s">
        <v>136</v>
      </c>
      <c r="C5" s="45">
        <v>4166.6000000000004</v>
      </c>
      <c r="D5" s="45">
        <v>3626.1</v>
      </c>
      <c r="E5" s="227"/>
      <c r="J5" s="50">
        <f t="shared" ref="J5:J6" si="0">(C5-D5)/D5</f>
        <v>0.14905821681696602</v>
      </c>
    </row>
    <row r="6" spans="2:10" ht="14.65" thickBot="1">
      <c r="B6" s="67" t="s">
        <v>137</v>
      </c>
      <c r="C6" s="46">
        <v>150.30000000000001</v>
      </c>
      <c r="D6" s="46">
        <v>61.6</v>
      </c>
      <c r="E6" s="228"/>
      <c r="J6" s="50">
        <f t="shared" si="0"/>
        <v>1.4399350649350651</v>
      </c>
    </row>
    <row r="7" spans="2:10" ht="14.65" thickBot="1"/>
    <row r="8" spans="2:10" ht="28.9" thickBot="1">
      <c r="B8" s="44"/>
      <c r="E8" s="157" t="s">
        <v>266</v>
      </c>
    </row>
    <row r="9" spans="2:10" s="49" customFormat="1" ht="23" customHeight="1" thickBot="1">
      <c r="B9" s="63" t="s">
        <v>148</v>
      </c>
      <c r="C9" s="53">
        <v>2023</v>
      </c>
      <c r="D9" s="53">
        <v>2022</v>
      </c>
      <c r="E9" s="53" t="s">
        <v>147</v>
      </c>
      <c r="F9" s="98"/>
      <c r="J9" s="61" t="s">
        <v>134</v>
      </c>
    </row>
    <row r="10" spans="2:10">
      <c r="B10" s="54" t="s">
        <v>138</v>
      </c>
      <c r="C10" s="55">
        <v>8039.7</v>
      </c>
      <c r="D10" s="55">
        <v>7805.6</v>
      </c>
      <c r="E10" s="226"/>
      <c r="F10" s="98"/>
      <c r="J10" s="50">
        <f>C10/D10-1</f>
        <v>2.9991288305831532E-2</v>
      </c>
    </row>
    <row r="11" spans="2:10" ht="14.65" thickBot="1">
      <c r="B11" s="56" t="s">
        <v>139</v>
      </c>
      <c r="C11" s="57">
        <v>10737.3</v>
      </c>
      <c r="D11" s="57">
        <v>9558.7999999999993</v>
      </c>
      <c r="E11" s="228"/>
      <c r="F11" s="98"/>
      <c r="J11" s="50">
        <f t="shared" ref="J11:J17" si="1">C11/D11-1</f>
        <v>0.12328953425116129</v>
      </c>
    </row>
    <row r="12" spans="2:10">
      <c r="B12" s="58" t="s">
        <v>140</v>
      </c>
      <c r="C12" s="55">
        <v>18777</v>
      </c>
      <c r="D12" s="55">
        <v>17364.400000000001</v>
      </c>
      <c r="E12" s="226"/>
      <c r="J12" s="50">
        <f t="shared" si="1"/>
        <v>8.1350348989887244E-2</v>
      </c>
    </row>
    <row r="13" spans="2:10" ht="14.65" thickBot="1">
      <c r="B13" s="59" t="s">
        <v>141</v>
      </c>
      <c r="C13" s="57">
        <v>5603.4</v>
      </c>
      <c r="D13" s="57">
        <v>5318</v>
      </c>
      <c r="E13" s="228"/>
      <c r="J13" s="50">
        <f t="shared" si="1"/>
        <v>5.3666792027077692E-2</v>
      </c>
    </row>
    <row r="14" spans="2:10">
      <c r="B14" s="43" t="s">
        <v>142</v>
      </c>
      <c r="C14" s="52">
        <v>24380.400000000001</v>
      </c>
      <c r="D14" s="52">
        <v>22682.400000000001</v>
      </c>
      <c r="E14" s="229"/>
      <c r="J14" s="50">
        <f t="shared" si="1"/>
        <v>7.4859803195429064E-2</v>
      </c>
    </row>
    <row r="15" spans="2:10">
      <c r="B15" s="43" t="s">
        <v>143</v>
      </c>
      <c r="C15" s="52">
        <v>1060.2</v>
      </c>
      <c r="D15" s="52">
        <v>989.2</v>
      </c>
      <c r="E15" s="227"/>
      <c r="J15" s="50">
        <f t="shared" si="1"/>
        <v>7.1775171856045317E-2</v>
      </c>
    </row>
    <row r="16" spans="2:10" ht="14.65" thickBot="1">
      <c r="B16" s="43" t="s">
        <v>144</v>
      </c>
      <c r="C16" s="52">
        <v>2885.4</v>
      </c>
      <c r="D16" s="52">
        <v>2790.3</v>
      </c>
      <c r="E16" s="230"/>
      <c r="J16" s="50">
        <f t="shared" si="1"/>
        <v>3.4082356735834818E-2</v>
      </c>
    </row>
    <row r="17" spans="2:10" ht="14.65" thickBot="1">
      <c r="B17" s="47" t="s">
        <v>145</v>
      </c>
      <c r="C17" s="60">
        <v>28326</v>
      </c>
      <c r="D17" s="60">
        <v>26461.9</v>
      </c>
      <c r="E17" s="231"/>
      <c r="J17" s="50">
        <f t="shared" si="1"/>
        <v>7.0444677064005257E-2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B8BB-C20A-4582-B376-A3B151C6ECDD}">
  <dimension ref="A1:N12"/>
  <sheetViews>
    <sheetView showGridLines="0" zoomScale="90" zoomScaleNormal="90" workbookViewId="0">
      <selection activeCell="I11" sqref="I11"/>
    </sheetView>
  </sheetViews>
  <sheetFormatPr defaultRowHeight="14.25"/>
  <cols>
    <col min="6" max="6" width="6.9296875" customWidth="1"/>
    <col min="9" max="9" width="53.73046875" customWidth="1"/>
  </cols>
  <sheetData>
    <row r="1" spans="1:14">
      <c r="A1" s="291" t="s">
        <v>276</v>
      </c>
      <c r="B1" s="292"/>
      <c r="C1" s="292"/>
      <c r="D1" s="292"/>
      <c r="E1" s="292"/>
      <c r="F1" s="168"/>
      <c r="J1" s="141" t="s">
        <v>277</v>
      </c>
    </row>
    <row r="2" spans="1:14">
      <c r="A2" s="175" t="s">
        <v>278</v>
      </c>
      <c r="B2" s="165"/>
      <c r="C2" s="165"/>
      <c r="D2" s="165"/>
      <c r="E2" s="165"/>
      <c r="F2" s="174"/>
      <c r="J2" s="141"/>
    </row>
    <row r="4" spans="1:14">
      <c r="A4" s="20">
        <v>14</v>
      </c>
      <c r="B4" s="20">
        <v>20</v>
      </c>
      <c r="C4" s="20">
        <v>24</v>
      </c>
      <c r="D4" s="20">
        <v>28</v>
      </c>
      <c r="E4" s="20">
        <v>30</v>
      </c>
      <c r="J4" s="20">
        <v>14</v>
      </c>
      <c r="K4" s="20">
        <v>20</v>
      </c>
      <c r="L4" s="20">
        <v>24</v>
      </c>
      <c r="M4" s="20">
        <v>28</v>
      </c>
      <c r="N4" s="20">
        <v>30</v>
      </c>
    </row>
    <row r="5" spans="1:14">
      <c r="A5" s="219"/>
      <c r="B5" s="219"/>
      <c r="C5" s="219"/>
      <c r="D5" s="219"/>
      <c r="E5" s="219"/>
      <c r="J5" s="22">
        <f>J4/14</f>
        <v>1</v>
      </c>
      <c r="K5" s="22">
        <f t="shared" ref="K5:N5" si="0">K4/14</f>
        <v>1.4285714285714286</v>
      </c>
      <c r="L5" s="22">
        <f t="shared" si="0"/>
        <v>1.7142857142857142</v>
      </c>
      <c r="M5" s="22">
        <f t="shared" si="0"/>
        <v>2</v>
      </c>
      <c r="N5" s="22">
        <f t="shared" si="0"/>
        <v>2.1428571428571428</v>
      </c>
    </row>
    <row r="6" spans="1:14">
      <c r="A6" s="219"/>
      <c r="B6" s="219"/>
      <c r="C6" s="219"/>
      <c r="D6" s="219"/>
      <c r="E6" s="219"/>
      <c r="J6" s="138">
        <f>100*J5</f>
        <v>100</v>
      </c>
      <c r="K6" s="138">
        <f t="shared" ref="K6:N6" si="1">100*K5</f>
        <v>142.85714285714286</v>
      </c>
      <c r="L6" s="138">
        <f t="shared" si="1"/>
        <v>171.42857142857142</v>
      </c>
      <c r="M6" s="138">
        <f t="shared" si="1"/>
        <v>200</v>
      </c>
      <c r="N6" s="138">
        <f t="shared" si="1"/>
        <v>214.28571428571428</v>
      </c>
    </row>
    <row r="7" spans="1:14">
      <c r="M7" t="s">
        <v>279</v>
      </c>
    </row>
    <row r="9" spans="1:14">
      <c r="A9" s="20">
        <v>1456</v>
      </c>
      <c r="B9" s="20">
        <v>1567</v>
      </c>
      <c r="C9" s="20">
        <v>1877</v>
      </c>
      <c r="D9" s="20">
        <v>1914</v>
      </c>
      <c r="E9" s="20">
        <v>2023</v>
      </c>
      <c r="J9" s="20">
        <v>1456</v>
      </c>
      <c r="K9" s="20">
        <v>1567</v>
      </c>
      <c r="L9" s="20">
        <v>1877</v>
      </c>
      <c r="M9" s="20">
        <v>1689</v>
      </c>
      <c r="N9" s="20">
        <v>2023</v>
      </c>
    </row>
    <row r="10" spans="1:14">
      <c r="A10" s="219"/>
      <c r="B10" s="219"/>
      <c r="C10" s="219"/>
      <c r="D10" s="219"/>
      <c r="E10" s="219"/>
      <c r="J10" s="22">
        <f>J9/$J$9</f>
        <v>1</v>
      </c>
      <c r="K10" s="22">
        <f t="shared" ref="K10:N10" si="2">K9/$J$9</f>
        <v>1.0762362637362637</v>
      </c>
      <c r="L10" s="22">
        <f t="shared" si="2"/>
        <v>1.2891483516483517</v>
      </c>
      <c r="M10" s="22">
        <f t="shared" si="2"/>
        <v>1.1600274725274726</v>
      </c>
      <c r="N10" s="22">
        <f t="shared" si="2"/>
        <v>1.3894230769230769</v>
      </c>
    </row>
    <row r="11" spans="1:14">
      <c r="A11" s="219"/>
      <c r="B11" s="219"/>
      <c r="C11" s="219"/>
      <c r="D11" s="219"/>
      <c r="E11" s="219"/>
      <c r="J11" s="138">
        <f>100*J10</f>
        <v>100</v>
      </c>
      <c r="K11" s="138">
        <f t="shared" ref="K11:N11" si="3">100*K10</f>
        <v>107.62362637362637</v>
      </c>
      <c r="L11" s="138">
        <f t="shared" si="3"/>
        <v>128.91483516483518</v>
      </c>
      <c r="M11" s="138">
        <f t="shared" si="3"/>
        <v>116.00274725274727</v>
      </c>
      <c r="N11" s="138">
        <f t="shared" si="3"/>
        <v>138.94230769230768</v>
      </c>
    </row>
    <row r="12" spans="1:14">
      <c r="M12" t="s">
        <v>280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15" ma:contentTypeDescription="Create a new document." ma:contentTypeScope="" ma:versionID="507a2f56f21afff3a6000228473b459b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ecbc3a2e255bf336b75e6192c636ca6b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28CCA8-7237-4FE3-B473-D73481365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c6e143-408a-4839-9bcf-61adb1c13e3f"/>
    <ds:schemaRef ds:uri="959d53c8-292b-4aa8-bb70-f9900682e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118B94-C92A-43A4-AD7E-0B1B43BADCF2}">
  <ds:schemaRefs>
    <ds:schemaRef ds:uri="http://schemas.microsoft.com/office/2006/metadata/properties"/>
    <ds:schemaRef ds:uri="959d53c8-292b-4aa8-bb70-f9900682e6de"/>
    <ds:schemaRef ds:uri="5ec6e143-408a-4839-9bcf-61adb1c13e3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BE0544-0A72-418D-9D30-882346BFB0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Original</vt:lpstr>
      <vt:lpstr>OrdOps</vt:lpstr>
      <vt:lpstr>SqR_Exp</vt:lpstr>
      <vt:lpstr>Avg</vt:lpstr>
      <vt:lpstr>SD</vt:lpstr>
      <vt:lpstr>WtdAvg</vt:lpstr>
      <vt:lpstr>MovAvg</vt:lpstr>
      <vt:lpstr>GrowthRate</vt:lpstr>
      <vt:lpstr>Index</vt:lpstr>
      <vt:lpstr>Rebase</vt:lpstr>
      <vt:lpstr>MeanMed</vt:lpstr>
      <vt:lpstr>Display</vt:lpstr>
      <vt:lpstr>OutLr1</vt:lpstr>
      <vt:lpstr>Outlr2</vt:lpstr>
      <vt:lpstr>Corr1</vt:lpstr>
      <vt:lpstr>Corr2</vt:lpstr>
      <vt:lpstr>LinEq</vt:lpstr>
      <vt:lpstr>LinReg</vt:lpstr>
      <vt:lpstr>OutlierLinReg</vt:lpstr>
      <vt:lpstr>NormDist</vt:lpstr>
      <vt:lpstr>2 dice</vt:lpstr>
      <vt:lpstr>Z-score</vt:lpstr>
      <vt:lpstr>CLT1</vt:lpstr>
      <vt:lpstr>CLT2</vt:lpstr>
      <vt:lpstr>HypTest</vt:lpstr>
      <vt:lpstr>ConfInt</vt:lpstr>
      <vt:lpstr>tDist</vt:lpstr>
      <vt:lpstr>tTable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Barrow</dc:creator>
  <cp:keywords/>
  <dc:description/>
  <cp:lastModifiedBy>Tim Cenna</cp:lastModifiedBy>
  <cp:revision/>
  <dcterms:created xsi:type="dcterms:W3CDTF">2021-08-19T16:35:51Z</dcterms:created>
  <dcterms:modified xsi:type="dcterms:W3CDTF">2024-07-15T19:36:31Z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</Properties>
</file>