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Опис" sheetId="1" state="visible" r:id="rId2"/>
    <sheet name="Готовински принос" sheetId="2" state="visible" r:id="rId3"/>
    <sheet name="Средства" sheetId="3" state="visible" r:id="rId4"/>
    <sheet name="Бонитет и насока" sheetId="4" state="visible" r:id="rId5"/>
  </sheets>
  <externalReferences>
    <externalReference r:id="rId6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55" authorId="0">
      <text>
        <r>
          <rPr>
            <sz val="10"/>
            <color rgb="FF0000FF"/>
            <rFont val="Arial"/>
            <family val="2"/>
            <charset val="1"/>
          </rPr>
          <t xml:space="preserve">https://www.investopedia.com/terms/d/debtequityratio.asp
</t>
        </r>
      </text>
    </comment>
  </commentList>
</comments>
</file>

<file path=xl/sharedStrings.xml><?xml version="1.0" encoding="utf-8"?>
<sst xmlns="http://schemas.openxmlformats.org/spreadsheetml/2006/main" count="203" uniqueCount="181">
  <si>
    <t xml:space="preserve">Линкови</t>
  </si>
  <si>
    <t xml:space="preserve">Готвински принос</t>
  </si>
  <si>
    <t xml:space="preserve">Назив на АД</t>
  </si>
  <si>
    <t xml:space="preserve">Гранит АД Скопје</t>
  </si>
  <si>
    <t xml:space="preserve">Основана</t>
  </si>
  <si>
    <t xml:space="preserve">Средства</t>
  </si>
  <si>
    <t xml:space="preserve">Тикер</t>
  </si>
  <si>
    <t xml:space="preserve">GRNT</t>
  </si>
  <si>
    <t xml:space="preserve">Дејност</t>
  </si>
  <si>
    <t xml:space="preserve">(2) – Градежништво</t>
  </si>
  <si>
    <t xml:space="preserve">ред бр.</t>
  </si>
  <si>
    <t xml:space="preserve">Продукт</t>
  </si>
  <si>
    <t xml:space="preserve">Опис</t>
  </si>
  <si>
    <t xml:space="preserve">Субститут</t>
  </si>
  <si>
    <t xml:space="preserve">Конкуретност</t>
  </si>
  <si>
    <t xml:space="preserve">Бонитет и насока</t>
  </si>
  <si>
    <t xml:space="preserve">Цена</t>
  </si>
  <si>
    <t xml:space="preserve">Број на акции</t>
  </si>
  <si>
    <t xml:space="preserve">Тек. Средства</t>
  </si>
  <si>
    <t xml:space="preserve">Добавувачи</t>
  </si>
  <si>
    <t xml:space="preserve">Ново конкурентост</t>
  </si>
  <si>
    <t xml:space="preserve">Тек. Конкуренција</t>
  </si>
  <si>
    <t xml:space="preserve"> Субститути</t>
  </si>
  <si>
    <t xml:space="preserve">Потрошувачи</t>
  </si>
  <si>
    <t xml:space="preserve">Назад</t>
  </si>
  <si>
    <t xml:space="preserve">20Q1</t>
  </si>
  <si>
    <t xml:space="preserve">20Q2</t>
  </si>
  <si>
    <t xml:space="preserve">20Q3</t>
  </si>
  <si>
    <t xml:space="preserve">20Q4</t>
  </si>
  <si>
    <t xml:space="preserve">21Q1</t>
  </si>
  <si>
    <t xml:space="preserve">21Q2</t>
  </si>
  <si>
    <t xml:space="preserve">21Q3</t>
  </si>
  <si>
    <t xml:space="preserve">21Q4</t>
  </si>
  <si>
    <t xml:space="preserve">22Q1</t>
  </si>
  <si>
    <t xml:space="preserve"> </t>
  </si>
  <si>
    <t xml:space="preserve">Оперативни текови</t>
  </si>
  <si>
    <t xml:space="preserve">Бруто Приходи</t>
  </si>
  <si>
    <t xml:space="preserve">Трош за произ/наб.</t>
  </si>
  <si>
    <t xml:space="preserve">Бруто Добивка (COGS)</t>
  </si>
  <si>
    <t xml:space="preserve">Трош за продажба</t>
  </si>
  <si>
    <t xml:space="preserve">Трош за истр. и раз.</t>
  </si>
  <si>
    <t xml:space="preserve">Трош за админ. и мен.</t>
  </si>
  <si>
    <t xml:space="preserve">Оперативни трошоци</t>
  </si>
  <si>
    <t xml:space="preserve">Оперативна добивка (EBITDA)</t>
  </si>
  <si>
    <t xml:space="preserve">Финансирање</t>
  </si>
  <si>
    <t xml:space="preserve">Приходи од финансирање</t>
  </si>
  <si>
    <t xml:space="preserve">Расходи од финансирање</t>
  </si>
  <si>
    <t xml:space="preserve">Добивка од финан.</t>
  </si>
  <si>
    <t xml:space="preserve">Други текови</t>
  </si>
  <si>
    <t xml:space="preserve">Приходи од други текови</t>
  </si>
  <si>
    <t xml:space="preserve">Расходи од други текови</t>
  </si>
  <si>
    <t xml:space="preserve">Добивка од други текови</t>
  </si>
  <si>
    <t xml:space="preserve">Вкупно</t>
  </si>
  <si>
    <t xml:space="preserve">Добивка пред даночење (EBT)</t>
  </si>
  <si>
    <t xml:space="preserve">Даноци</t>
  </si>
  <si>
    <t xml:space="preserve">Нето добивка/Профит</t>
  </si>
  <si>
    <t xml:space="preserve">Модел</t>
  </si>
  <si>
    <t xml:space="preserve">Стапка на созревање</t>
  </si>
  <si>
    <t xml:space="preserve">Дисконтна стапка</t>
  </si>
  <si>
    <t xml:space="preserve">Нето Сегашна Вредност</t>
  </si>
  <si>
    <t xml:space="preserve">Вредност</t>
  </si>
  <si>
    <t xml:space="preserve">Цена по акција</t>
  </si>
  <si>
    <t xml:space="preserve">Пазарна цена</t>
  </si>
  <si>
    <t xml:space="preserve">Разлика (Профит/Разлика)</t>
  </si>
  <si>
    <t xml:space="preserve">Дивиденда</t>
  </si>
  <si>
    <t xml:space="preserve">Вредност </t>
  </si>
  <si>
    <t xml:space="preserve">по 10год</t>
  </si>
  <si>
    <t xml:space="preserve">Куповна цена</t>
  </si>
  <si>
    <t xml:space="preserve">Апс. Разлика (Профит/Разлика)</t>
  </si>
  <si>
    <t xml:space="preserve">Годишна</t>
  </si>
  <si>
    <t xml:space="preserve">Бруто Маржа</t>
  </si>
  <si>
    <t xml:space="preserve">Оперативна Маржа</t>
  </si>
  <si>
    <t xml:space="preserve">Профит Маржа</t>
  </si>
  <si>
    <t xml:space="preserve">Данок</t>
  </si>
  <si>
    <t xml:space="preserve">Удели на приходи</t>
  </si>
  <si>
    <t xml:space="preserve">Приход од продажба</t>
  </si>
  <si>
    <t xml:space="preserve">Приход од финансирање</t>
  </si>
  <si>
    <t xml:space="preserve">Приход од други текови</t>
  </si>
  <si>
    <t xml:space="preserve">Пораст на приход г/г</t>
  </si>
  <si>
    <t xml:space="preserve">Пораст на трошоци за продажба г/г</t>
  </si>
  <si>
    <t xml:space="preserve">Пораст на оперативни трош г/г</t>
  </si>
  <si>
    <t xml:space="preserve">Прод. Пораст на опер. Приход </t>
  </si>
  <si>
    <t xml:space="preserve">Пораст на профит</t>
  </si>
  <si>
    <t xml:space="preserve">Вредносни</t>
  </si>
  <si>
    <t xml:space="preserve">Поврат на средства</t>
  </si>
  <si>
    <t xml:space="preserve">Поврат на капитал</t>
  </si>
  <si>
    <t xml:space="preserve">Поврат на </t>
  </si>
  <si>
    <t xml:space="preserve">Цена/Добивка</t>
  </si>
  <si>
    <t xml:space="preserve">обврски</t>
  </si>
  <si>
    <t xml:space="preserve">Цена/По сметководствена вред.</t>
  </si>
  <si>
    <t xml:space="preserve">Должнички</t>
  </si>
  <si>
    <t xml:space="preserve">Покритие на капитал со долг</t>
  </si>
  <si>
    <t xml:space="preserve">Долг/Средства</t>
  </si>
  <si>
    <t xml:space="preserve">ДАТУМ</t>
  </si>
  <si>
    <t xml:space="preserve">Тековни средства</t>
  </si>
  <si>
    <t xml:space="preserve">Тековни обврски</t>
  </si>
  <si>
    <t xml:space="preserve">Пари</t>
  </si>
  <si>
    <t xml:space="preserve">Обврски спрема добавувачи</t>
  </si>
  <si>
    <t xml:space="preserve">Парични еквиваленти</t>
  </si>
  <si>
    <t xml:space="preserve">Обврски спрема државата</t>
  </si>
  <si>
    <t xml:space="preserve">Побарувања од купувачи</t>
  </si>
  <si>
    <t xml:space="preserve">Обврски за краткорочни обврски</t>
  </si>
  <si>
    <t xml:space="preserve">Побарувања (останати)</t>
  </si>
  <si>
    <t xml:space="preserve">Краткорочни резервирања</t>
  </si>
  <si>
    <t xml:space="preserve">Краткорочни вложувања</t>
  </si>
  <si>
    <t xml:space="preserve">Останати тековни обврски</t>
  </si>
  <si>
    <t xml:space="preserve">Залиха</t>
  </si>
  <si>
    <t xml:space="preserve">ПВР</t>
  </si>
  <si>
    <t xml:space="preserve">АВР</t>
  </si>
  <si>
    <t xml:space="preserve">Постојани обврски</t>
  </si>
  <si>
    <t xml:space="preserve">Постојани средства</t>
  </si>
  <si>
    <t xml:space="preserve">Обврски за долгорочни кредити</t>
  </si>
  <si>
    <t xml:space="preserve">Нематријални средства</t>
  </si>
  <si>
    <t xml:space="preserve">Долго. обврски кон добавувачи</t>
  </si>
  <si>
    <t xml:space="preserve">Недвижност</t>
  </si>
  <si>
    <t xml:space="preserve">Останати долго. Резервирања</t>
  </si>
  <si>
    <t xml:space="preserve">Опрема</t>
  </si>
  <si>
    <t xml:space="preserve">Одложени даночни обврски</t>
  </si>
  <si>
    <t xml:space="preserve">Биолошки средства</t>
  </si>
  <si>
    <t xml:space="preserve">Долгорочни обврски</t>
  </si>
  <si>
    <t xml:space="preserve">Долгорочни заеми</t>
  </si>
  <si>
    <t xml:space="preserve">Останати долгорочни средства</t>
  </si>
  <si>
    <t xml:space="preserve">Вкупно обврски</t>
  </si>
  <si>
    <t xml:space="preserve">Одложено даночно средство</t>
  </si>
  <si>
    <t xml:space="preserve">Вложувања во хартии од вред.</t>
  </si>
  <si>
    <t xml:space="preserve">Капитал</t>
  </si>
  <si>
    <t xml:space="preserve">Вложувања во придружени прет.</t>
  </si>
  <si>
    <t xml:space="preserve">Основна главина</t>
  </si>
  <si>
    <t xml:space="preserve">Долгорочни средства</t>
  </si>
  <si>
    <t xml:space="preserve">Резерви</t>
  </si>
  <si>
    <t xml:space="preserve">Акумулирана добивка/загуба</t>
  </si>
  <si>
    <t xml:space="preserve">Вкупно средства</t>
  </si>
  <si>
    <t xml:space="preserve">Вкупно капитал</t>
  </si>
  <si>
    <t xml:space="preserve">Вкупно пари</t>
  </si>
  <si>
    <t xml:space="preserve">Вкупно пасива</t>
  </si>
  <si>
    <t xml:space="preserve">Ставка</t>
  </si>
  <si>
    <t xml:space="preserve">+/-</t>
  </si>
  <si>
    <t xml:space="preserve">Разлика</t>
  </si>
  <si>
    <t xml:space="preserve">Издадени должнички хартии од вредност</t>
  </si>
  <si>
    <t xml:space="preserve">Камата</t>
  </si>
  <si>
    <t xml:space="preserve">Издавање</t>
  </si>
  <si>
    <t xml:space="preserve">Доспевање</t>
  </si>
  <si>
    <t xml:space="preserve">Нето добивка/загуба</t>
  </si>
  <si>
    <t xml:space="preserve">Амортизација</t>
  </si>
  <si>
    <t xml:space="preserve">Залихи</t>
  </si>
  <si>
    <t xml:space="preserve">Поб. на купувачите</t>
  </si>
  <si>
    <t xml:space="preserve">Поб. за издад. аванси</t>
  </si>
  <si>
    <t xml:space="preserve">Оштетување на сред. и рез.</t>
  </si>
  <si>
    <t xml:space="preserve">Останати кратк. поб.</t>
  </si>
  <si>
    <t xml:space="preserve">Долг/Капитал</t>
  </si>
  <si>
    <t xml:space="preserve">Покритие на камата</t>
  </si>
  <si>
    <t xml:space="preserve">Обврски кон добав</t>
  </si>
  <si>
    <t xml:space="preserve">Обврски за при. аванси</t>
  </si>
  <si>
    <t xml:space="preserve">Поврат на побарувања</t>
  </si>
  <si>
    <t xml:space="preserve">Останати кратк обв.</t>
  </si>
  <si>
    <t xml:space="preserve">Рас./при од камати</t>
  </si>
  <si>
    <t xml:space="preserve">Дивиденди</t>
  </si>
  <si>
    <t xml:space="preserve">Расходи за платен данок</t>
  </si>
  <si>
    <t xml:space="preserve">Осн. Капитална доб/заг</t>
  </si>
  <si>
    <t xml:space="preserve">Вло. Капитална доб/заг</t>
  </si>
  <si>
    <t xml:space="preserve">Ост. Парични при/одл.</t>
  </si>
  <si>
    <t xml:space="preserve">Нето прилив/одлив</t>
  </si>
  <si>
    <t xml:space="preserve">Инвестициони активности</t>
  </si>
  <si>
    <t xml:space="preserve">Набавка на инв. Сред.</t>
  </si>
  <si>
    <t xml:space="preserve">Продажба на инв сред.</t>
  </si>
  <si>
    <t xml:space="preserve">При за хартии од вред</t>
  </si>
  <si>
    <t xml:space="preserve">Одл за хартии од вред</t>
  </si>
  <si>
    <t xml:space="preserve">Камати</t>
  </si>
  <si>
    <t xml:space="preserve">Дивиденди од инвести.</t>
  </si>
  <si>
    <t xml:space="preserve">Финансиски активности</t>
  </si>
  <si>
    <t xml:space="preserve">Издавање на акции и сл</t>
  </si>
  <si>
    <t xml:space="preserve">Враќање на заеми</t>
  </si>
  <si>
    <t xml:space="preserve">При. од издадени дол. хартии од вредност и кредити</t>
  </si>
  <si>
    <t xml:space="preserve">Стекнување на мал. Интерес</t>
  </si>
  <si>
    <t xml:space="preserve">Исплатена дивиденда</t>
  </si>
  <si>
    <t xml:space="preserve">Откуп/прод. на соп. акции</t>
  </si>
  <si>
    <t xml:space="preserve">Нам. на обвр. за фин. лизинг</t>
  </si>
  <si>
    <t xml:space="preserve">Нето парична промена</t>
  </si>
  <si>
    <t xml:space="preserve">Пари на почеток на годината</t>
  </si>
  <si>
    <t xml:space="preserve">Парична промена</t>
  </si>
  <si>
    <t xml:space="preserve">Пари на крај од годината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</si>
</sst>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#,##0"/>
    <numFmt numFmtId="167" formatCode="0%"/>
    <numFmt numFmtId="168" formatCode="0.0%"/>
    <numFmt numFmtId="169" formatCode="0.00%"/>
    <numFmt numFmtId="170" formatCode="#,##0.00;[RED]\-#,##0.00"/>
    <numFmt numFmtId="171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C9211E"/>
      <name val="Arial"/>
      <family val="2"/>
      <charset val="1"/>
    </font>
    <font>
      <sz val="8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B2B2B2"/>
        <bgColor rgb="FFB3CAC7"/>
      </patternFill>
    </fill>
    <fill>
      <patternFill patternType="solid">
        <fgColor rgb="FFF7D1D5"/>
        <bgColor rgb="FFFFDBB6"/>
      </patternFill>
    </fill>
    <fill>
      <patternFill patternType="solid">
        <fgColor rgb="FFF6F9D4"/>
        <bgColor rgb="FFE8F2A1"/>
      </patternFill>
    </fill>
    <fill>
      <patternFill patternType="solid">
        <fgColor rgb="FFB4C7DC"/>
        <bgColor rgb="FFB3CAC7"/>
      </patternFill>
    </fill>
    <fill>
      <patternFill patternType="solid">
        <fgColor rgb="FFFFDBB6"/>
        <bgColor rgb="FFF7D1D5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6F9D4"/>
      </patternFill>
    </fill>
    <fill>
      <patternFill patternType="solid">
        <fgColor rgb="FF999999"/>
        <bgColor rgb="FF808080"/>
      </patternFill>
    </fill>
    <fill>
      <patternFill patternType="solid">
        <fgColor rgb="FFFF0000"/>
        <bgColor rgb="FFC9211E"/>
      </patternFill>
    </fill>
    <fill>
      <patternFill patternType="solid">
        <fgColor rgb="FFFF6D6D"/>
        <bgColor rgb="FFFF6600"/>
      </patternFill>
    </fill>
    <fill>
      <patternFill patternType="solid">
        <fgColor rgb="FF729FCF"/>
        <bgColor rgb="FF999999"/>
      </patternFill>
    </fill>
    <fill>
      <patternFill patternType="solid">
        <fgColor rgb="FFFFAA95"/>
        <bgColor rgb="FFEC9BA4"/>
      </patternFill>
    </fill>
    <fill>
      <patternFill patternType="solid">
        <fgColor rgb="FF2A6099"/>
        <bgColor rgb="FF666699"/>
      </patternFill>
    </fill>
    <fill>
      <patternFill patternType="solid">
        <fgColor rgb="FFDDDDDD"/>
        <bgColor rgb="FFF7D1D5"/>
      </patternFill>
    </fill>
    <fill>
      <patternFill patternType="solid">
        <fgColor rgb="FFEC9BA4"/>
        <bgColor rgb="FFFFAA95"/>
      </patternFill>
    </fill>
    <fill>
      <patternFill patternType="solid">
        <fgColor rgb="FFAFD095"/>
        <bgColor rgb="FFB3CAC7"/>
      </patternFill>
    </fill>
    <fill>
      <patternFill patternType="solid">
        <fgColor rgb="FF81D41A"/>
        <bgColor rgb="FF77BC65"/>
      </patternFill>
    </fill>
    <fill>
      <patternFill patternType="solid">
        <fgColor rgb="FFB3CAC7"/>
        <bgColor rgb="FFB4C7DC"/>
      </patternFill>
    </fill>
    <fill>
      <patternFill patternType="solid">
        <fgColor rgb="FF77BC65"/>
        <bgColor rgb="FF81D41A"/>
      </patternFill>
    </fill>
    <fill>
      <patternFill patternType="solid">
        <fgColor rgb="FFFFFF6D"/>
        <bgColor rgb="FFE8F2A1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1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5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7D1D5"/>
      <rgbColor rgb="FFFF0000"/>
      <rgbColor rgb="FF00FF00"/>
      <rgbColor rgb="FF0000FF"/>
      <rgbColor rgb="FFD4EA6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6F9D4"/>
      <rgbColor rgb="FFDDDDDD"/>
      <rgbColor rgb="FF660066"/>
      <rgbColor rgb="FFFF6D6D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8F2A1"/>
      <rgbColor rgb="FFFFFF6D"/>
      <rgbColor rgb="FFAFD095"/>
      <rgbColor rgb="FFEC9BA4"/>
      <rgbColor rgb="FFB2B2B2"/>
      <rgbColor rgb="FFFFDBB6"/>
      <rgbColor rgb="FF3366FF"/>
      <rgbColor rgb="FF33CCCC"/>
      <rgbColor rgb="FF81D41A"/>
      <rgbColor rgb="FFFFCC00"/>
      <rgbColor rgb="FFFFAA95"/>
      <rgbColor rgb="FFFF6600"/>
      <rgbColor rgb="FF666699"/>
      <rgbColor rgb="FF999999"/>
      <rgbColor rgb="FF003366"/>
      <rgbColor rgb="FF77BC65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anonymous/Documents/home/anonymous/Documents/home/anonymous/Documents/home/anonymous/Documents/home/anonymous/Documents/home/anonymous/Documents/home/anonymous/Documents/MBI10.od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6.3"/>
    <col collapsed="false" customWidth="true" hidden="false" outlineLevel="0" max="2" min="2" style="0" width="17.27"/>
    <col collapsed="false" customWidth="true" hidden="false" outlineLevel="0" max="3" min="3" style="0" width="16.43"/>
    <col collapsed="false" customWidth="true" hidden="false" outlineLevel="0" max="4" min="4" style="0" width="18.77"/>
    <col collapsed="false" customWidth="true" hidden="false" outlineLevel="0" max="5" min="5" style="0" width="20.45"/>
    <col collapsed="false" customWidth="true" hidden="false" outlineLevel="0" max="6" min="6" style="0" width="3.45"/>
    <col collapsed="false" customWidth="true" hidden="false" outlineLevel="0" max="7" min="7" style="0" width="6.94"/>
    <col collapsed="false" customWidth="true" hidden="false" outlineLevel="0" max="8" min="8" style="0" width="10.12"/>
    <col collapsed="false" customWidth="true" hidden="false" outlineLevel="0" max="9" min="9" style="0" width="15.68"/>
    <col collapsed="false" customWidth="true" hidden="false" outlineLevel="0" max="12" min="12" style="1" width="12.8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2" t="s">
        <v>1</v>
      </c>
      <c r="B2" s="0" t="s">
        <v>2</v>
      </c>
      <c r="C2" s="3" t="s">
        <v>3</v>
      </c>
      <c r="D2" s="0" t="s">
        <v>4</v>
      </c>
      <c r="E2" s="4"/>
      <c r="F2" s="5"/>
      <c r="G2" s="6"/>
      <c r="H2" s="6"/>
      <c r="I2" s="6"/>
      <c r="J2" s="6"/>
      <c r="K2" s="6"/>
      <c r="L2" s="7"/>
      <c r="M2" s="6"/>
    </row>
    <row r="3" customFormat="false" ht="12.8" hidden="false" customHeight="false" outlineLevel="0" collapsed="false">
      <c r="A3" s="2" t="s">
        <v>5</v>
      </c>
      <c r="B3" s="0" t="s">
        <v>6</v>
      </c>
      <c r="C3" s="3" t="s">
        <v>7</v>
      </c>
      <c r="D3" s="0" t="s">
        <v>8</v>
      </c>
      <c r="E3" s="3" t="s">
        <v>9</v>
      </c>
      <c r="F3" s="6"/>
      <c r="G3" s="3" t="s">
        <v>10</v>
      </c>
      <c r="H3" s="8" t="s">
        <v>11</v>
      </c>
      <c r="I3" s="9" t="s">
        <v>12</v>
      </c>
      <c r="J3" s="8" t="s">
        <v>13</v>
      </c>
      <c r="K3" s="9" t="s">
        <v>12</v>
      </c>
      <c r="L3" s="8" t="s">
        <v>14</v>
      </c>
      <c r="M3" s="9" t="s">
        <v>12</v>
      </c>
    </row>
    <row r="4" customFormat="false" ht="12.8" hidden="false" customHeight="false" outlineLevel="0" collapsed="false">
      <c r="A4" s="2" t="s">
        <v>15</v>
      </c>
      <c r="C4" s="10"/>
      <c r="E4" s="10"/>
      <c r="F4" s="6"/>
      <c r="G4" s="4"/>
      <c r="H4" s="11"/>
      <c r="I4" s="12"/>
      <c r="J4" s="11"/>
      <c r="K4" s="12"/>
      <c r="L4" s="11"/>
      <c r="M4" s="12"/>
    </row>
    <row r="5" customFormat="false" ht="12.8" hidden="false" customHeight="false" outlineLevel="0" collapsed="false">
      <c r="D5" s="0" t="s">
        <v>16</v>
      </c>
      <c r="E5" s="13" t="n">
        <f aca="false">[1]Sheet1!D6</f>
        <v>1389.17</v>
      </c>
      <c r="F5" s="6"/>
      <c r="G5" s="4"/>
      <c r="H5" s="14"/>
      <c r="I5" s="12"/>
      <c r="J5" s="14"/>
      <c r="K5" s="12"/>
      <c r="L5" s="11"/>
      <c r="M5" s="12"/>
    </row>
    <row r="6" customFormat="false" ht="12.8" hidden="false" customHeight="false" outlineLevel="0" collapsed="false">
      <c r="D6" s="0" t="s">
        <v>17</v>
      </c>
      <c r="E6" s="15" t="n">
        <f aca="false">3071377/1000*0.92</f>
        <v>2825.66684</v>
      </c>
      <c r="F6" s="6"/>
      <c r="G6" s="4"/>
      <c r="H6" s="14"/>
      <c r="I6" s="12"/>
      <c r="J6" s="14"/>
      <c r="K6" s="12"/>
      <c r="L6" s="11"/>
      <c r="M6" s="12"/>
    </row>
    <row r="7" customFormat="false" ht="12.8" hidden="false" customHeight="false" outlineLevel="0" collapsed="false">
      <c r="D7" s="0" t="s">
        <v>18</v>
      </c>
      <c r="E7" s="16" t="n">
        <f aca="false">Средства!D27</f>
        <v>2076709</v>
      </c>
      <c r="F7" s="6"/>
      <c r="G7" s="4"/>
      <c r="H7" s="14"/>
      <c r="I7" s="12"/>
      <c r="J7" s="14"/>
      <c r="K7" s="12"/>
      <c r="L7" s="11"/>
      <c r="M7" s="12"/>
    </row>
    <row r="8" customFormat="false" ht="12.8" hidden="false" customHeight="false" outlineLevel="0" collapsed="false">
      <c r="A8" s="6"/>
      <c r="B8" s="6"/>
      <c r="C8" s="6"/>
      <c r="D8" s="6"/>
      <c r="E8" s="6"/>
      <c r="F8" s="6"/>
      <c r="G8" s="4"/>
      <c r="H8" s="14"/>
      <c r="I8" s="12"/>
      <c r="J8" s="14"/>
      <c r="K8" s="12"/>
      <c r="L8" s="11"/>
      <c r="M8" s="12"/>
    </row>
    <row r="9" customFormat="false" ht="12.8" hidden="false" customHeight="false" outlineLevel="0" collapsed="false">
      <c r="A9" s="17" t="s">
        <v>19</v>
      </c>
      <c r="B9" s="17" t="s">
        <v>20</v>
      </c>
      <c r="C9" s="17" t="s">
        <v>21</v>
      </c>
      <c r="D9" s="18" t="s">
        <v>22</v>
      </c>
      <c r="E9" s="17" t="s">
        <v>23</v>
      </c>
      <c r="F9" s="6"/>
      <c r="G9" s="4"/>
      <c r="H9" s="14"/>
      <c r="I9" s="12"/>
      <c r="J9" s="14"/>
      <c r="K9" s="12"/>
      <c r="L9" s="11"/>
      <c r="M9" s="12"/>
    </row>
    <row r="10" customFormat="false" ht="12.8" hidden="false" customHeight="false" outlineLevel="0" collapsed="false">
      <c r="F10" s="6"/>
      <c r="G10" s="4"/>
      <c r="H10" s="11"/>
      <c r="I10" s="12"/>
      <c r="J10" s="11"/>
      <c r="K10" s="12"/>
      <c r="L10" s="11"/>
      <c r="M10" s="12"/>
    </row>
    <row r="11" customFormat="false" ht="12.8" hidden="false" customHeight="false" outlineLevel="0" collapsed="false">
      <c r="F11" s="6"/>
      <c r="G11" s="4"/>
      <c r="H11" s="14"/>
      <c r="I11" s="12"/>
      <c r="J11" s="14"/>
      <c r="K11" s="12"/>
      <c r="L11" s="11"/>
      <c r="M11" s="12"/>
    </row>
    <row r="12" customFormat="false" ht="12.8" hidden="false" customHeight="false" outlineLevel="0" collapsed="false">
      <c r="F12" s="6"/>
      <c r="G12" s="4"/>
      <c r="H12" s="14"/>
      <c r="I12" s="12"/>
      <c r="J12" s="14"/>
      <c r="K12" s="12"/>
      <c r="L12" s="11"/>
      <c r="M12" s="12"/>
    </row>
    <row r="13" customFormat="false" ht="12.8" hidden="false" customHeight="false" outlineLevel="0" collapsed="false">
      <c r="F13" s="6"/>
      <c r="G13" s="4"/>
      <c r="H13" s="14"/>
      <c r="I13" s="12"/>
      <c r="J13" s="14"/>
      <c r="K13" s="12"/>
      <c r="L13" s="11"/>
      <c r="M13" s="12"/>
    </row>
    <row r="14" customFormat="false" ht="12.8" hidden="false" customHeight="false" outlineLevel="0" collapsed="false">
      <c r="F14" s="6"/>
      <c r="G14" s="4"/>
      <c r="H14" s="14"/>
      <c r="I14" s="12"/>
      <c r="J14" s="14"/>
      <c r="K14" s="12"/>
      <c r="L14" s="11"/>
      <c r="M14" s="12"/>
    </row>
    <row r="15" customFormat="false" ht="12.8" hidden="false" customHeight="false" outlineLevel="0" collapsed="false">
      <c r="F15" s="6"/>
      <c r="G15" s="4"/>
      <c r="H15" s="14"/>
      <c r="I15" s="12"/>
      <c r="J15" s="14"/>
      <c r="K15" s="12"/>
      <c r="L15" s="11"/>
      <c r="M15" s="12"/>
    </row>
  </sheetData>
  <hyperlinks>
    <hyperlink ref="A2" location="Готовински принос" display="Готвински принос"/>
    <hyperlink ref="A3" location="Средства" display="Средства"/>
    <hyperlink ref="A4" location="Бонитет и насока" display="Бонитет и насока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4" activePane="bottomRight" state="frozen"/>
      <selection pane="topLeft" activeCell="A1" activeCellId="0" sqref="A1"/>
      <selection pane="topRight" activeCell="B1" activeCellId="0" sqref="B1"/>
      <selection pane="bottomLeft" activeCell="A24" activeCellId="0" sqref="A24"/>
      <selection pane="bottomRight" activeCell="C32" activeCellId="0" sqref="C3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7.41"/>
    <col collapsed="false" customWidth="true" hidden="false" outlineLevel="0" max="2" min="2" style="0" width="10.97"/>
    <col collapsed="false" customWidth="false" hidden="false" outlineLevel="0" max="14" min="3" style="1" width="11.52"/>
    <col collapsed="false" customWidth="true" hidden="false" outlineLevel="0" max="28" min="15" style="0" width="11.61"/>
  </cols>
  <sheetData>
    <row r="1" customFormat="false" ht="12.8" hidden="false" customHeight="false" outlineLevel="0" collapsed="false">
      <c r="A1" s="2" t="s">
        <v>24</v>
      </c>
      <c r="B1" s="8" t="n">
        <v>2019</v>
      </c>
      <c r="C1" s="8" t="s">
        <v>25</v>
      </c>
      <c r="D1" s="19" t="s">
        <v>26</v>
      </c>
      <c r="E1" s="1" t="s">
        <v>27</v>
      </c>
      <c r="F1" s="20" t="s">
        <v>28</v>
      </c>
      <c r="G1" s="1" t="n">
        <v>2020</v>
      </c>
      <c r="H1" s="8" t="s">
        <v>29</v>
      </c>
      <c r="I1" s="1" t="s">
        <v>30</v>
      </c>
      <c r="J1" s="1" t="s">
        <v>31</v>
      </c>
      <c r="K1" s="20" t="s">
        <v>32</v>
      </c>
      <c r="L1" s="1" t="n">
        <v>2021</v>
      </c>
      <c r="M1" s="1" t="s">
        <v>33</v>
      </c>
      <c r="N1" s="21"/>
      <c r="O1" s="22" t="n">
        <v>2019</v>
      </c>
      <c r="P1" s="22" t="n">
        <v>2020</v>
      </c>
      <c r="Q1" s="22" t="n">
        <v>2021</v>
      </c>
      <c r="R1" s="22" t="n">
        <v>2022</v>
      </c>
      <c r="S1" s="22" t="n">
        <v>2023</v>
      </c>
      <c r="T1" s="22" t="n">
        <v>2024</v>
      </c>
      <c r="U1" s="22" t="n">
        <v>2025</v>
      </c>
      <c r="V1" s="22" t="n">
        <v>2026</v>
      </c>
      <c r="W1" s="22" t="n">
        <v>2027</v>
      </c>
      <c r="X1" s="22" t="n">
        <v>2028</v>
      </c>
      <c r="Y1" s="22" t="n">
        <v>2029</v>
      </c>
      <c r="Z1" s="22" t="n">
        <v>2030</v>
      </c>
      <c r="AA1" s="22" t="n">
        <v>2031</v>
      </c>
      <c r="AB1" s="22" t="n">
        <v>2032</v>
      </c>
    </row>
    <row r="2" customFormat="false" ht="12.8" hidden="false" customHeight="false" outlineLevel="0" collapsed="false">
      <c r="C2" s="1" t="s">
        <v>34</v>
      </c>
      <c r="N2" s="2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customFormat="false" ht="12.8" hidden="false" customHeight="false" outlineLevel="0" collapsed="false">
      <c r="A3" s="23" t="s">
        <v>35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1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customFormat="false" ht="12.8" hidden="false" customHeight="false" outlineLevel="0" collapsed="false">
      <c r="A4" s="0" t="s">
        <v>36</v>
      </c>
      <c r="B4" s="24" t="n">
        <v>4866523</v>
      </c>
      <c r="C4" s="24" t="n">
        <v>847095</v>
      </c>
      <c r="D4" s="24" t="n">
        <f aca="false">2188546-C4</f>
        <v>1341451</v>
      </c>
      <c r="E4" s="24" t="n">
        <f aca="false">(3239532)-(D4+C4)</f>
        <v>1050986</v>
      </c>
      <c r="F4" s="24" t="n">
        <f aca="false">(4093391)-(E4+D4+C4)</f>
        <v>853859</v>
      </c>
      <c r="G4" s="25" t="n">
        <f aca="false">SUM(C4:F4)</f>
        <v>4093391</v>
      </c>
      <c r="H4" s="24" t="n">
        <v>706437</v>
      </c>
      <c r="I4" s="24" t="n">
        <f aca="false">2107698-H4</f>
        <v>1401261</v>
      </c>
      <c r="J4" s="24" t="n">
        <f aca="false">3402792-(I4+H4)</f>
        <v>1295094</v>
      </c>
      <c r="K4" s="24" t="n">
        <f aca="false">(4713802)-(J4+I4+H4)</f>
        <v>1311010</v>
      </c>
      <c r="L4" s="25" t="n">
        <f aca="false">SUM(H4:K4)</f>
        <v>4713802</v>
      </c>
      <c r="M4" s="24" t="n">
        <v>775940</v>
      </c>
      <c r="N4" s="21"/>
      <c r="O4" s="24" t="n">
        <f aca="false">B4</f>
        <v>4866523</v>
      </c>
      <c r="P4" s="24" t="n">
        <f aca="false">G4</f>
        <v>4093391</v>
      </c>
      <c r="Q4" s="24" t="n">
        <f aca="false">L4</f>
        <v>4713802</v>
      </c>
      <c r="R4" s="24" t="n">
        <f aca="false">Q4*0.99</f>
        <v>4666663.98</v>
      </c>
      <c r="S4" s="24" t="n">
        <f aca="false">R4*0.99</f>
        <v>4619997.3402</v>
      </c>
      <c r="T4" s="24" t="n">
        <f aca="false">S4*0.99</f>
        <v>4573797.366798</v>
      </c>
      <c r="U4" s="24" t="n">
        <f aca="false">T4*0.99</f>
        <v>4528059.39313002</v>
      </c>
      <c r="V4" s="24" t="n">
        <f aca="false">U4*0.99</f>
        <v>4482778.79919872</v>
      </c>
      <c r="W4" s="24" t="n">
        <f aca="false">V4*0.99</f>
        <v>4437951.01120673</v>
      </c>
      <c r="X4" s="24" t="n">
        <f aca="false">W4*0.99</f>
        <v>4393571.50109466</v>
      </c>
      <c r="Y4" s="24" t="n">
        <f aca="false">X4*0.99</f>
        <v>4349635.78608372</v>
      </c>
      <c r="Z4" s="24" t="n">
        <f aca="false">Y4*0.99</f>
        <v>4306139.42822288</v>
      </c>
      <c r="AA4" s="24" t="n">
        <f aca="false">Z4*0.99</f>
        <v>4263078.03394065</v>
      </c>
      <c r="AB4" s="24" t="n">
        <f aca="false">AA4*0.99</f>
        <v>4220447.25360124</v>
      </c>
    </row>
    <row r="5" customFormat="false" ht="12.8" hidden="false" customHeight="true" outlineLevel="0" collapsed="false">
      <c r="A5" s="0" t="s">
        <v>37</v>
      </c>
      <c r="B5" s="24" t="n">
        <f aca="false">18392+1015184+453230+2414941+804963+1229</f>
        <v>4707939</v>
      </c>
      <c r="C5" s="24" t="n">
        <f aca="false">3175+172952+12439+371733+186107</f>
        <v>746406</v>
      </c>
      <c r="D5" s="24" t="n">
        <f aca="false">(103065+379641+46062+1063279+386648)-C5</f>
        <v>1232289</v>
      </c>
      <c r="E5" s="24" t="n">
        <f aca="false">(13592+817050+81832+1445810+597084)-(D5+C5)</f>
        <v>976673</v>
      </c>
      <c r="F5" s="24" t="n">
        <f aca="false">(15118+952949+116857+1983135+829163)-(E5+D5+C5)</f>
        <v>941854</v>
      </c>
      <c r="G5" s="25" t="n">
        <f aca="false">SUM(C5:F5)</f>
        <v>3897222</v>
      </c>
      <c r="H5" s="24" t="n">
        <f aca="false">1400+174885+9156+244981+180900</f>
        <v>611322</v>
      </c>
      <c r="I5" s="24" t="n">
        <f aca="false">(162033+405730+31780+876106+397230)-H5</f>
        <v>1261557</v>
      </c>
      <c r="J5" s="24" t="n">
        <f aca="false">(66787+727812+166625+1521459+611344)-(I5+H5)</f>
        <v>1221148</v>
      </c>
      <c r="K5" s="24" t="n">
        <f aca="false">(5202+1005911+118323+2356465+845497)-(J5+I5+H5)</f>
        <v>1237371</v>
      </c>
      <c r="L5" s="25" t="n">
        <f aca="false">SUM(H5:K5)</f>
        <v>4331398</v>
      </c>
      <c r="M5" s="24" t="n">
        <f aca="false">15+214347+27027+300653+182625</f>
        <v>724667</v>
      </c>
      <c r="N5" s="21"/>
      <c r="O5" s="24" t="n">
        <f aca="false">B5</f>
        <v>4707939</v>
      </c>
      <c r="P5" s="24" t="n">
        <f aca="false">G5</f>
        <v>3897222</v>
      </c>
      <c r="Q5" s="24" t="n">
        <f aca="false">L5</f>
        <v>4331398</v>
      </c>
      <c r="R5" s="24" t="n">
        <f aca="false">Q5*0.99</f>
        <v>4288084.02</v>
      </c>
      <c r="S5" s="24" t="n">
        <f aca="false">R5*0.99</f>
        <v>4245203.1798</v>
      </c>
      <c r="T5" s="24" t="n">
        <f aca="false">S5*0.99</f>
        <v>4202751.148002</v>
      </c>
      <c r="U5" s="24" t="n">
        <f aca="false">T5*0.99</f>
        <v>4160723.63652198</v>
      </c>
      <c r="V5" s="24" t="n">
        <f aca="false">U5*0.99</f>
        <v>4119116.40015676</v>
      </c>
      <c r="W5" s="24" t="n">
        <f aca="false">V5*0.99</f>
        <v>4077925.23615519</v>
      </c>
      <c r="X5" s="24" t="n">
        <f aca="false">W5*0.99</f>
        <v>4037145.98379364</v>
      </c>
      <c r="Y5" s="24" t="n">
        <f aca="false">X5*0.99</f>
        <v>3996774.5239557</v>
      </c>
      <c r="Z5" s="24" t="n">
        <f aca="false">Y5*0.99</f>
        <v>3956806.77871615</v>
      </c>
      <c r="AA5" s="24" t="n">
        <f aca="false">Z5*0.99</f>
        <v>3917238.71092898</v>
      </c>
      <c r="AB5" s="24" t="n">
        <f aca="false">AA5*0.99</f>
        <v>3878066.32381969</v>
      </c>
    </row>
    <row r="6" customFormat="false" ht="12.8" hidden="false" customHeight="false" outlineLevel="0" collapsed="false">
      <c r="A6" s="0" t="s">
        <v>38</v>
      </c>
      <c r="B6" s="26" t="n">
        <f aca="false">+B4-B5</f>
        <v>158584</v>
      </c>
      <c r="C6" s="26" t="n">
        <f aca="false">+C4-C5</f>
        <v>100689</v>
      </c>
      <c r="D6" s="26" t="n">
        <f aca="false">+D4-D5</f>
        <v>109162</v>
      </c>
      <c r="E6" s="26" t="n">
        <f aca="false">+E4-E5</f>
        <v>74313</v>
      </c>
      <c r="F6" s="26" t="n">
        <f aca="false">+F4-F5</f>
        <v>-87995</v>
      </c>
      <c r="G6" s="27" t="n">
        <f aca="false">SUM(C6:F6)</f>
        <v>196169</v>
      </c>
      <c r="H6" s="26" t="n">
        <f aca="false">+H4-H5</f>
        <v>95115</v>
      </c>
      <c r="I6" s="26" t="n">
        <f aca="false">+I4-I5</f>
        <v>139704</v>
      </c>
      <c r="J6" s="26" t="n">
        <f aca="false">+J4-J5</f>
        <v>73946</v>
      </c>
      <c r="K6" s="26" t="n">
        <f aca="false">+K4-K5</f>
        <v>73639</v>
      </c>
      <c r="L6" s="27" t="n">
        <f aca="false">SUM(H6:K6)</f>
        <v>382404</v>
      </c>
      <c r="M6" s="26" t="n">
        <f aca="false">+M4-M5</f>
        <v>51273</v>
      </c>
      <c r="N6" s="21"/>
      <c r="O6" s="26" t="n">
        <f aca="false">+O4-O5</f>
        <v>158584</v>
      </c>
      <c r="P6" s="26" t="n">
        <f aca="false">+P4-P5</f>
        <v>196169</v>
      </c>
      <c r="Q6" s="26" t="n">
        <f aca="false">+Q4-Q5</f>
        <v>382404</v>
      </c>
      <c r="R6" s="26" t="n">
        <f aca="false">+R4-R5</f>
        <v>378579.96</v>
      </c>
      <c r="S6" s="26" t="n">
        <f aca="false">+S4-S5</f>
        <v>374794.1604</v>
      </c>
      <c r="T6" s="26" t="n">
        <f aca="false">+T4-T5</f>
        <v>371046.218796001</v>
      </c>
      <c r="U6" s="26" t="n">
        <f aca="false">+U4-U5</f>
        <v>367335.756608041</v>
      </c>
      <c r="V6" s="26" t="n">
        <f aca="false">+V4-V5</f>
        <v>363662.39904196</v>
      </c>
      <c r="W6" s="26" t="n">
        <f aca="false">+W4-W5</f>
        <v>360025.77505154</v>
      </c>
      <c r="X6" s="26" t="n">
        <f aca="false">+X4-X5</f>
        <v>356425.517301024</v>
      </c>
      <c r="Y6" s="26" t="n">
        <f aca="false">+Y4-Y5</f>
        <v>352861.262128014</v>
      </c>
      <c r="Z6" s="26" t="n">
        <f aca="false">+Z4-Z5</f>
        <v>349332.649506734</v>
      </c>
      <c r="AA6" s="26" t="n">
        <f aca="false">+AA4-AA5</f>
        <v>345839.323011667</v>
      </c>
      <c r="AB6" s="26" t="n">
        <f aca="false">+AB4-AB5</f>
        <v>342380.92978155</v>
      </c>
    </row>
    <row r="7" customFormat="false" ht="12.8" hidden="false" customHeight="false" outlineLevel="0" collapsed="false">
      <c r="A7" s="0" t="s">
        <v>39</v>
      </c>
      <c r="B7" s="24" t="n">
        <v>0</v>
      </c>
      <c r="C7" s="24" t="n">
        <v>0</v>
      </c>
      <c r="D7" s="24" t="n">
        <f aca="false">0-C7</f>
        <v>0</v>
      </c>
      <c r="E7" s="24" t="n">
        <f aca="false">0-(D7+C7)</f>
        <v>0</v>
      </c>
      <c r="F7" s="24" t="n">
        <f aca="false">(0)-(E7+D7+C7)</f>
        <v>0</v>
      </c>
      <c r="G7" s="25" t="n">
        <f aca="false">SUM(C7:F7)</f>
        <v>0</v>
      </c>
      <c r="H7" s="24" t="n">
        <v>0</v>
      </c>
      <c r="I7" s="24" t="n">
        <f aca="false">0-H7</f>
        <v>0</v>
      </c>
      <c r="J7" s="24" t="n">
        <f aca="false">0-(I7+H7)</f>
        <v>0</v>
      </c>
      <c r="K7" s="24" t="n">
        <f aca="false">(0)-(J7+I7+H7)</f>
        <v>0</v>
      </c>
      <c r="L7" s="25" t="n">
        <f aca="false">SUM(H7:K7)</f>
        <v>0</v>
      </c>
      <c r="M7" s="24"/>
      <c r="N7" s="21"/>
      <c r="O7" s="24" t="n">
        <f aca="false">B7</f>
        <v>0</v>
      </c>
      <c r="P7" s="24" t="n">
        <f aca="false">G7</f>
        <v>0</v>
      </c>
      <c r="Q7" s="24" t="n">
        <f aca="false">L7</f>
        <v>0</v>
      </c>
      <c r="R7" s="24" t="n">
        <f aca="false">M7</f>
        <v>0</v>
      </c>
      <c r="S7" s="24" t="n">
        <f aca="false">N7</f>
        <v>0</v>
      </c>
      <c r="T7" s="24" t="n">
        <f aca="false">O7</f>
        <v>0</v>
      </c>
      <c r="U7" s="24" t="n">
        <f aca="false">P7</f>
        <v>0</v>
      </c>
      <c r="V7" s="24" t="n">
        <f aca="false">Q7</f>
        <v>0</v>
      </c>
      <c r="W7" s="24" t="n">
        <f aca="false">R7</f>
        <v>0</v>
      </c>
      <c r="X7" s="24" t="n">
        <f aca="false">S7</f>
        <v>0</v>
      </c>
      <c r="Y7" s="24" t="n">
        <f aca="false">T7</f>
        <v>0</v>
      </c>
      <c r="Z7" s="24" t="n">
        <f aca="false">U7</f>
        <v>0</v>
      </c>
      <c r="AA7" s="24" t="n">
        <f aca="false">V7</f>
        <v>0</v>
      </c>
      <c r="AB7" s="24" t="n">
        <f aca="false">W7</f>
        <v>0</v>
      </c>
    </row>
    <row r="8" customFormat="false" ht="12.8" hidden="false" customHeight="false" outlineLevel="0" collapsed="false">
      <c r="A8" s="28" t="s">
        <v>40</v>
      </c>
      <c r="B8" s="24" t="n">
        <v>0</v>
      </c>
      <c r="C8" s="24" t="n">
        <v>0</v>
      </c>
      <c r="D8" s="24" t="n">
        <f aca="false">0-C8</f>
        <v>0</v>
      </c>
      <c r="E8" s="24" t="n">
        <f aca="false">0-(D8+C8)</f>
        <v>0</v>
      </c>
      <c r="F8" s="24" t="n">
        <f aca="false">(0)-(E8+D8+C8)</f>
        <v>0</v>
      </c>
      <c r="G8" s="25" t="n">
        <f aca="false">SUM(C8:F8)</f>
        <v>0</v>
      </c>
      <c r="H8" s="24" t="n">
        <v>0</v>
      </c>
      <c r="I8" s="24" t="n">
        <f aca="false">0-H8</f>
        <v>0</v>
      </c>
      <c r="J8" s="24" t="n">
        <f aca="false">0-(I8+H8)</f>
        <v>0</v>
      </c>
      <c r="K8" s="24" t="n">
        <f aca="false">(0)-(J8+I8+H8)</f>
        <v>0</v>
      </c>
      <c r="L8" s="25" t="n">
        <f aca="false">SUM(H8:K8)</f>
        <v>0</v>
      </c>
      <c r="M8" s="24"/>
      <c r="N8" s="21"/>
      <c r="O8" s="24" t="n">
        <f aca="false">B8</f>
        <v>0</v>
      </c>
      <c r="P8" s="24" t="n">
        <f aca="false">G8</f>
        <v>0</v>
      </c>
      <c r="Q8" s="24" t="n">
        <f aca="false">L8</f>
        <v>0</v>
      </c>
      <c r="R8" s="24" t="n">
        <f aca="false">M8</f>
        <v>0</v>
      </c>
      <c r="S8" s="24" t="n">
        <f aca="false">N8</f>
        <v>0</v>
      </c>
      <c r="T8" s="24" t="n">
        <f aca="false">O8</f>
        <v>0</v>
      </c>
      <c r="U8" s="24" t="n">
        <f aca="false">P8</f>
        <v>0</v>
      </c>
      <c r="V8" s="24" t="n">
        <f aca="false">Q8</f>
        <v>0</v>
      </c>
      <c r="W8" s="24" t="n">
        <f aca="false">R8</f>
        <v>0</v>
      </c>
      <c r="X8" s="24" t="n">
        <f aca="false">S8</f>
        <v>0</v>
      </c>
      <c r="Y8" s="24" t="n">
        <f aca="false">T8</f>
        <v>0</v>
      </c>
      <c r="Z8" s="24" t="n">
        <f aca="false">U8</f>
        <v>0</v>
      </c>
      <c r="AA8" s="24" t="n">
        <f aca="false">V8</f>
        <v>0</v>
      </c>
      <c r="AB8" s="24" t="n">
        <f aca="false">W8</f>
        <v>0</v>
      </c>
    </row>
    <row r="9" customFormat="false" ht="12.8" hidden="false" customHeight="false" outlineLevel="0" collapsed="false">
      <c r="A9" s="0" t="s">
        <v>41</v>
      </c>
      <c r="B9" s="29" t="n">
        <v>156728</v>
      </c>
      <c r="C9" s="24" t="n">
        <f aca="false">29136</f>
        <v>29136</v>
      </c>
      <c r="D9" s="24" t="n">
        <f aca="false">(59503)-C9</f>
        <v>30367</v>
      </c>
      <c r="E9" s="24" t="n">
        <f aca="false">(70908)-(D9+C9)</f>
        <v>11405</v>
      </c>
      <c r="F9" s="24" t="n">
        <f aca="false">(116527)-(E9+D9+C9)</f>
        <v>45619</v>
      </c>
      <c r="G9" s="25" t="n">
        <f aca="false">SUM(C9:F9)</f>
        <v>116527</v>
      </c>
      <c r="H9" s="24" t="n">
        <f aca="false">38686</f>
        <v>38686</v>
      </c>
      <c r="I9" s="24" t="n">
        <f aca="false">(61865)-H9</f>
        <v>23179</v>
      </c>
      <c r="J9" s="24" t="n">
        <f aca="false">(83214)-(I9+H9)</f>
        <v>21349</v>
      </c>
      <c r="K9" s="24" t="n">
        <f aca="false">(117698)-(J9+I9+H9)</f>
        <v>34484</v>
      </c>
      <c r="L9" s="25" t="n">
        <f aca="false">SUM(H9:K9)</f>
        <v>117698</v>
      </c>
      <c r="M9" s="24" t="n">
        <f aca="false">26392</f>
        <v>26392</v>
      </c>
      <c r="N9" s="21"/>
      <c r="O9" s="24" t="n">
        <f aca="false">B9</f>
        <v>156728</v>
      </c>
      <c r="P9" s="24" t="n">
        <f aca="false">G9</f>
        <v>116527</v>
      </c>
      <c r="Q9" s="24" t="n">
        <f aca="false">L9</f>
        <v>117698</v>
      </c>
      <c r="R9" s="24" t="n">
        <f aca="false">Q9*0.99</f>
        <v>116521.02</v>
      </c>
      <c r="S9" s="24" t="n">
        <f aca="false">R9*0.99</f>
        <v>115355.8098</v>
      </c>
      <c r="T9" s="24" t="n">
        <f aca="false">S9*0.99</f>
        <v>114202.251702</v>
      </c>
      <c r="U9" s="24" t="n">
        <f aca="false">T9*0.99</f>
        <v>113060.22918498</v>
      </c>
      <c r="V9" s="24" t="n">
        <f aca="false">U9*0.99</f>
        <v>111929.62689313</v>
      </c>
      <c r="W9" s="24" t="n">
        <f aca="false">V9*0.99</f>
        <v>110810.330624199</v>
      </c>
      <c r="X9" s="24" t="n">
        <f aca="false">W9*0.99</f>
        <v>109702.227317957</v>
      </c>
      <c r="Y9" s="24" t="n">
        <f aca="false">X9*0.99</f>
        <v>108605.205044777</v>
      </c>
      <c r="Z9" s="24" t="n">
        <f aca="false">Y9*0.99</f>
        <v>107519.15299433</v>
      </c>
      <c r="AA9" s="24" t="n">
        <f aca="false">Z9*0.99</f>
        <v>106443.961464386</v>
      </c>
      <c r="AB9" s="24" t="n">
        <f aca="false">AA9*0.99</f>
        <v>105379.521849742</v>
      </c>
    </row>
    <row r="10" customFormat="false" ht="12.8" hidden="false" customHeight="false" outlineLevel="0" collapsed="false">
      <c r="A10" s="0" t="s">
        <v>42</v>
      </c>
      <c r="B10" s="26" t="n">
        <f aca="false">SUM(B7:B9)</f>
        <v>156728</v>
      </c>
      <c r="C10" s="26" t="n">
        <f aca="false">SUM(C7:C9)</f>
        <v>29136</v>
      </c>
      <c r="D10" s="26" t="n">
        <f aca="false">SUM(D7:D9)</f>
        <v>30367</v>
      </c>
      <c r="E10" s="26" t="n">
        <f aca="false">SUM(E7:E9)</f>
        <v>11405</v>
      </c>
      <c r="F10" s="26" t="n">
        <f aca="false">SUM(F7:F9)</f>
        <v>45619</v>
      </c>
      <c r="G10" s="27" t="n">
        <f aca="false">SUM(C10:F10)</f>
        <v>116527</v>
      </c>
      <c r="H10" s="26" t="n">
        <f aca="false">SUM(H7:H9)</f>
        <v>38686</v>
      </c>
      <c r="I10" s="26" t="n">
        <f aca="false">SUM(I7:I9)</f>
        <v>23179</v>
      </c>
      <c r="J10" s="26" t="n">
        <f aca="false">SUM(J7:J9)</f>
        <v>21349</v>
      </c>
      <c r="K10" s="26" t="n">
        <f aca="false">SUM(K7:K9)</f>
        <v>34484</v>
      </c>
      <c r="L10" s="27" t="n">
        <f aca="false">SUM(H10:K10)</f>
        <v>117698</v>
      </c>
      <c r="M10" s="26" t="n">
        <f aca="false">SUM(M7:M9)</f>
        <v>26392</v>
      </c>
      <c r="N10" s="21"/>
      <c r="O10" s="26" t="n">
        <f aca="false">SUM(O7:O9)</f>
        <v>156728</v>
      </c>
      <c r="P10" s="26" t="n">
        <f aca="false">SUM(P7:P9)</f>
        <v>116527</v>
      </c>
      <c r="Q10" s="26" t="n">
        <f aca="false">SUM(Q7:Q9)</f>
        <v>117698</v>
      </c>
      <c r="R10" s="26" t="n">
        <f aca="false">SUM(R7:R9)</f>
        <v>116521.02</v>
      </c>
      <c r="S10" s="26" t="n">
        <f aca="false">SUM(S7:S9)</f>
        <v>115355.8098</v>
      </c>
      <c r="T10" s="26" t="n">
        <f aca="false">SUM(T7:T9)</f>
        <v>114202.251702</v>
      </c>
      <c r="U10" s="26" t="n">
        <f aca="false">SUM(U7:U9)</f>
        <v>113060.22918498</v>
      </c>
      <c r="V10" s="26" t="n">
        <f aca="false">SUM(V7:V9)</f>
        <v>111929.62689313</v>
      </c>
      <c r="W10" s="26" t="n">
        <f aca="false">SUM(W7:W9)</f>
        <v>110810.330624199</v>
      </c>
      <c r="X10" s="26" t="n">
        <f aca="false">SUM(X7:X9)</f>
        <v>109702.227317957</v>
      </c>
      <c r="Y10" s="26" t="n">
        <f aca="false">SUM(Y7:Y9)</f>
        <v>108605.205044777</v>
      </c>
      <c r="Z10" s="26" t="n">
        <f aca="false">SUM(Z7:Z9)</f>
        <v>107519.15299433</v>
      </c>
      <c r="AA10" s="26" t="n">
        <f aca="false">SUM(AA7:AA9)</f>
        <v>106443.961464386</v>
      </c>
      <c r="AB10" s="26" t="n">
        <f aca="false">SUM(AB7:AB9)</f>
        <v>105379.521849742</v>
      </c>
    </row>
    <row r="11" customFormat="false" ht="12.8" hidden="false" customHeight="false" outlineLevel="0" collapsed="false">
      <c r="A11" s="0" t="s">
        <v>43</v>
      </c>
      <c r="B11" s="30" t="n">
        <f aca="false">+B6-B10</f>
        <v>1856</v>
      </c>
      <c r="C11" s="30" t="n">
        <f aca="false">+C6-C10</f>
        <v>71553</v>
      </c>
      <c r="D11" s="30" t="n">
        <f aca="false">+D6-D10</f>
        <v>78795</v>
      </c>
      <c r="E11" s="30" t="n">
        <f aca="false">+E6-E10</f>
        <v>62908</v>
      </c>
      <c r="F11" s="30" t="n">
        <f aca="false">+F6-F10</f>
        <v>-133614</v>
      </c>
      <c r="G11" s="27" t="n">
        <f aca="false">SUM(C11:F11)</f>
        <v>79642</v>
      </c>
      <c r="H11" s="30" t="n">
        <f aca="false">+H6-H10</f>
        <v>56429</v>
      </c>
      <c r="I11" s="30" t="n">
        <f aca="false">+I6-I10</f>
        <v>116525</v>
      </c>
      <c r="J11" s="30" t="n">
        <f aca="false">+J6-J10</f>
        <v>52597</v>
      </c>
      <c r="K11" s="30" t="n">
        <f aca="false">+K6-K10</f>
        <v>39155</v>
      </c>
      <c r="L11" s="27" t="n">
        <f aca="false">SUM(H11:K11)</f>
        <v>264706</v>
      </c>
      <c r="M11" s="30" t="n">
        <f aca="false">+M6-M10</f>
        <v>24881</v>
      </c>
      <c r="N11" s="21"/>
      <c r="O11" s="30" t="n">
        <f aca="false">+O6-O10</f>
        <v>1856</v>
      </c>
      <c r="P11" s="30" t="n">
        <f aca="false">+P6-P10</f>
        <v>79642</v>
      </c>
      <c r="Q11" s="30" t="n">
        <f aca="false">+Q6-Q10</f>
        <v>264706</v>
      </c>
      <c r="R11" s="30" t="n">
        <f aca="false">+R6-R10</f>
        <v>262058.94</v>
      </c>
      <c r="S11" s="30" t="n">
        <f aca="false">+S6-S10</f>
        <v>259438.3506</v>
      </c>
      <c r="T11" s="30" t="n">
        <f aca="false">+T6-T10</f>
        <v>256843.967094001</v>
      </c>
      <c r="U11" s="30" t="n">
        <f aca="false">+U6-U10</f>
        <v>254275.527423061</v>
      </c>
      <c r="V11" s="30" t="n">
        <f aca="false">+V6-V10</f>
        <v>251732.77214883</v>
      </c>
      <c r="W11" s="30" t="n">
        <f aca="false">+W6-W10</f>
        <v>249215.444427341</v>
      </c>
      <c r="X11" s="30" t="n">
        <f aca="false">+X6-X10</f>
        <v>246723.289983067</v>
      </c>
      <c r="Y11" s="30" t="n">
        <f aca="false">+Y6-Y10</f>
        <v>244256.057083237</v>
      </c>
      <c r="Z11" s="30" t="n">
        <f aca="false">+Z6-Z10</f>
        <v>241813.496512405</v>
      </c>
      <c r="AA11" s="30" t="n">
        <f aca="false">+AA6-AA10</f>
        <v>239395.36154728</v>
      </c>
      <c r="AB11" s="30" t="n">
        <f aca="false">+AB6-AB10</f>
        <v>237001.407931807</v>
      </c>
    </row>
    <row r="12" customFormat="false" ht="12.8" hidden="false" customHeight="false" outlineLevel="0" collapsed="false">
      <c r="A12" s="31" t="s">
        <v>44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2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customFormat="false" ht="12.8" hidden="false" customHeight="false" outlineLevel="0" collapsed="false">
      <c r="A13" s="0" t="s">
        <v>45</v>
      </c>
      <c r="B13" s="24" t="n">
        <v>59137</v>
      </c>
      <c r="C13" s="24" t="n">
        <v>569</v>
      </c>
      <c r="D13" s="24" t="n">
        <f aca="false">(64888)-C13</f>
        <v>64319</v>
      </c>
      <c r="E13" s="24" t="n">
        <f aca="false">(70473)-(D13+C13)</f>
        <v>5585</v>
      </c>
      <c r="F13" s="24" t="n">
        <f aca="false">(79419)-(E13+D13+C13)</f>
        <v>8946</v>
      </c>
      <c r="G13" s="25" t="n">
        <f aca="false">SUM(C13:F13)</f>
        <v>79419</v>
      </c>
      <c r="H13" s="24" t="n">
        <f aca="false">2501</f>
        <v>2501</v>
      </c>
      <c r="I13" s="24" t="n">
        <f aca="false">4887-H13</f>
        <v>2386</v>
      </c>
      <c r="J13" s="24" t="n">
        <f aca="false">79888-(I13+H13)</f>
        <v>75001</v>
      </c>
      <c r="K13" s="24" t="n">
        <f aca="false">(77283)-(J13+I13+H13)</f>
        <v>-2605</v>
      </c>
      <c r="L13" s="25" t="n">
        <f aca="false">SUM(H13:K13)</f>
        <v>77283</v>
      </c>
      <c r="M13" s="24" t="n">
        <v>1540</v>
      </c>
      <c r="N13" s="21"/>
      <c r="O13" s="24" t="n">
        <f aca="false">B13</f>
        <v>59137</v>
      </c>
      <c r="P13" s="24" t="n">
        <f aca="false">G13</f>
        <v>79419</v>
      </c>
      <c r="Q13" s="24" t="n">
        <f aca="false">L13</f>
        <v>77283</v>
      </c>
      <c r="R13" s="24" t="n">
        <f aca="false">Q13*0.99</f>
        <v>76510.17</v>
      </c>
      <c r="S13" s="24" t="n">
        <f aca="false">R13*0.99</f>
        <v>75745.0683</v>
      </c>
      <c r="T13" s="24" t="n">
        <f aca="false">S13*0.99</f>
        <v>74987.617617</v>
      </c>
      <c r="U13" s="24" t="n">
        <f aca="false">T13*0.99</f>
        <v>74237.74144083</v>
      </c>
      <c r="V13" s="24" t="n">
        <f aca="false">U13*0.99</f>
        <v>73495.3640264217</v>
      </c>
      <c r="W13" s="24" t="n">
        <f aca="false">V13*0.99</f>
        <v>72760.4103861575</v>
      </c>
      <c r="X13" s="24" t="n">
        <f aca="false">W13*0.99</f>
        <v>72032.8062822959</v>
      </c>
      <c r="Y13" s="24" t="n">
        <f aca="false">X13*0.99</f>
        <v>71312.478219473</v>
      </c>
      <c r="Z13" s="24" t="n">
        <f aca="false">Y13*0.99</f>
        <v>70599.3534372782</v>
      </c>
      <c r="AA13" s="24" t="n">
        <f aca="false">Z13*0.99</f>
        <v>69893.3599029054</v>
      </c>
      <c r="AB13" s="24" t="n">
        <f aca="false">AA13*0.99</f>
        <v>69194.4263038764</v>
      </c>
    </row>
    <row r="14" customFormat="false" ht="12.8" hidden="false" customHeight="false" outlineLevel="0" collapsed="false">
      <c r="A14" s="0" t="s">
        <v>46</v>
      </c>
      <c r="B14" s="24" t="n">
        <v>10556</v>
      </c>
      <c r="C14" s="24" t="n">
        <v>1370</v>
      </c>
      <c r="D14" s="24" t="n">
        <f aca="false">(2231)-C14</f>
        <v>861</v>
      </c>
      <c r="E14" s="24" t="n">
        <f aca="false">(3442)-(D14+C14)</f>
        <v>1211</v>
      </c>
      <c r="F14" s="24" t="n">
        <f aca="false">(12545)-(E14+D14+C14)</f>
        <v>9103</v>
      </c>
      <c r="G14" s="25" t="n">
        <f aca="false">SUM(C14:F14)</f>
        <v>12545</v>
      </c>
      <c r="H14" s="24" t="n">
        <v>77</v>
      </c>
      <c r="I14" s="24" t="n">
        <f aca="false">(900)-H14</f>
        <v>823</v>
      </c>
      <c r="J14" s="24" t="n">
        <f aca="false">(1410)-(I14+H14)</f>
        <v>510</v>
      </c>
      <c r="K14" s="24" t="n">
        <f aca="false">(4276)-(J14+I14+H14)</f>
        <v>2866</v>
      </c>
      <c r="L14" s="25" t="n">
        <f aca="false">SUM(H14:K14)</f>
        <v>4276</v>
      </c>
      <c r="M14" s="24" t="n">
        <v>1332</v>
      </c>
      <c r="N14" s="21"/>
      <c r="O14" s="24" t="n">
        <f aca="false">B14</f>
        <v>10556</v>
      </c>
      <c r="P14" s="24" t="n">
        <f aca="false">G14</f>
        <v>12545</v>
      </c>
      <c r="Q14" s="24" t="n">
        <f aca="false">L14</f>
        <v>4276</v>
      </c>
      <c r="R14" s="24" t="n">
        <f aca="false">Q14*0.99</f>
        <v>4233.24</v>
      </c>
      <c r="S14" s="24" t="n">
        <f aca="false">R14*0.99</f>
        <v>4190.9076</v>
      </c>
      <c r="T14" s="24" t="n">
        <f aca="false">S14*0.99</f>
        <v>4148.998524</v>
      </c>
      <c r="U14" s="24" t="n">
        <f aca="false">T14*0.99</f>
        <v>4107.50853876</v>
      </c>
      <c r="V14" s="24" t="n">
        <f aca="false">U14*0.99</f>
        <v>4066.4334533724</v>
      </c>
      <c r="W14" s="24" t="n">
        <f aca="false">V14*0.99</f>
        <v>4025.76911883868</v>
      </c>
      <c r="X14" s="24" t="n">
        <f aca="false">W14*0.99</f>
        <v>3985.51142765029</v>
      </c>
      <c r="Y14" s="24" t="n">
        <f aca="false">X14*0.99</f>
        <v>3945.65631337379</v>
      </c>
      <c r="Z14" s="24" t="n">
        <f aca="false">Y14*0.99</f>
        <v>3906.19975024005</v>
      </c>
      <c r="AA14" s="24" t="n">
        <f aca="false">Z14*0.99</f>
        <v>3867.13775273765</v>
      </c>
      <c r="AB14" s="24" t="n">
        <f aca="false">AA14*0.99</f>
        <v>3828.46637521027</v>
      </c>
    </row>
    <row r="15" customFormat="false" ht="12.8" hidden="false" customHeight="false" outlineLevel="0" collapsed="false">
      <c r="A15" s="0" t="s">
        <v>47</v>
      </c>
      <c r="B15" s="26" t="n">
        <f aca="false">+B13-B14</f>
        <v>48581</v>
      </c>
      <c r="C15" s="26" t="n">
        <f aca="false">+C13-C14</f>
        <v>-801</v>
      </c>
      <c r="D15" s="26" t="n">
        <f aca="false">+D13-D14</f>
        <v>63458</v>
      </c>
      <c r="E15" s="26" t="n">
        <f aca="false">+E13-E14</f>
        <v>4374</v>
      </c>
      <c r="F15" s="26" t="n">
        <f aca="false">+F13-F14</f>
        <v>-157</v>
      </c>
      <c r="G15" s="27" t="n">
        <f aca="false">SUM(C15:F15)</f>
        <v>66874</v>
      </c>
      <c r="H15" s="26" t="n">
        <f aca="false">+H13-H14</f>
        <v>2424</v>
      </c>
      <c r="I15" s="26" t="n">
        <f aca="false">+I13-I14</f>
        <v>1563</v>
      </c>
      <c r="J15" s="26" t="n">
        <f aca="false">+J13-J14</f>
        <v>74491</v>
      </c>
      <c r="K15" s="26" t="n">
        <f aca="false">+K13-K14</f>
        <v>-5471</v>
      </c>
      <c r="L15" s="27" t="n">
        <f aca="false">SUM(H15:K15)</f>
        <v>73007</v>
      </c>
      <c r="M15" s="26" t="n">
        <f aca="false">+M13-M14</f>
        <v>208</v>
      </c>
      <c r="N15" s="21"/>
      <c r="O15" s="26" t="n">
        <f aca="false">+O13-O14</f>
        <v>48581</v>
      </c>
      <c r="P15" s="26" t="n">
        <f aca="false">+P13-P14</f>
        <v>66874</v>
      </c>
      <c r="Q15" s="26" t="n">
        <f aca="false">+Q13-Q14</f>
        <v>73007</v>
      </c>
      <c r="R15" s="26" t="n">
        <f aca="false">+R13-R14</f>
        <v>72276.93</v>
      </c>
      <c r="S15" s="26" t="n">
        <f aca="false">+S13-S14</f>
        <v>71554.1607</v>
      </c>
      <c r="T15" s="26" t="n">
        <f aca="false">+T13-T14</f>
        <v>70838.619093</v>
      </c>
      <c r="U15" s="26" t="n">
        <f aca="false">+U13-U14</f>
        <v>70130.23290207</v>
      </c>
      <c r="V15" s="26" t="n">
        <f aca="false">+V13-V14</f>
        <v>69428.9305730493</v>
      </c>
      <c r="W15" s="26" t="n">
        <f aca="false">+W13-W14</f>
        <v>68734.6412673188</v>
      </c>
      <c r="X15" s="26" t="n">
        <f aca="false">+X13-X14</f>
        <v>68047.2948546456</v>
      </c>
      <c r="Y15" s="26" t="n">
        <f aca="false">+Y13-Y14</f>
        <v>67366.8219060992</v>
      </c>
      <c r="Z15" s="26" t="n">
        <f aca="false">+Z13-Z14</f>
        <v>66693.1536870382</v>
      </c>
      <c r="AA15" s="26" t="n">
        <f aca="false">+AA13-AA14</f>
        <v>66026.2221501678</v>
      </c>
      <c r="AB15" s="26" t="n">
        <f aca="false">+AB13-AB14</f>
        <v>65365.9599286661</v>
      </c>
    </row>
    <row r="16" customFormat="false" ht="12.8" hidden="false" customHeight="false" outlineLevel="0" collapsed="false">
      <c r="A16" s="32" t="s">
        <v>48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21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customFormat="false" ht="12.8" hidden="false" customHeight="false" outlineLevel="0" collapsed="false">
      <c r="A17" s="0" t="s">
        <v>49</v>
      </c>
      <c r="B17" s="24" t="n">
        <v>234183</v>
      </c>
      <c r="C17" s="24" t="n">
        <f aca="false">13300+26566</f>
        <v>39866</v>
      </c>
      <c r="D17" s="24" t="n">
        <f aca="false">(34389+14853)-C17</f>
        <v>9376</v>
      </c>
      <c r="E17" s="24" t="n">
        <f aca="false">(85701+21067)-(D17+C17)</f>
        <v>57526</v>
      </c>
      <c r="F17" s="24" t="n">
        <f aca="false">(113210+173025)-(E17+D17+C17)</f>
        <v>179467</v>
      </c>
      <c r="G17" s="25" t="n">
        <f aca="false">SUM(C17:F17)</f>
        <v>286235</v>
      </c>
      <c r="H17" s="24" t="n">
        <f aca="false">16988+2974</f>
        <v>19962</v>
      </c>
      <c r="I17" s="24" t="n">
        <f aca="false">(34173+70993)-H17</f>
        <v>85204</v>
      </c>
      <c r="J17" s="24" t="n">
        <f aca="false">(63204+69763)-(I17+H17)</f>
        <v>27801</v>
      </c>
      <c r="K17" s="24" t="n">
        <f aca="false">(91408+91238)-(J17+I17+H17)</f>
        <v>49679</v>
      </c>
      <c r="L17" s="25" t="n">
        <f aca="false">SUM(H17:K17)</f>
        <v>182646</v>
      </c>
      <c r="M17" s="24" t="n">
        <f aca="false">29123+20947</f>
        <v>50070</v>
      </c>
      <c r="N17" s="21"/>
      <c r="O17" s="24" t="n">
        <f aca="false">B17</f>
        <v>234183</v>
      </c>
      <c r="P17" s="24" t="n">
        <f aca="false">G17</f>
        <v>286235</v>
      </c>
      <c r="Q17" s="24" t="n">
        <f aca="false">L17</f>
        <v>182646</v>
      </c>
      <c r="R17" s="24" t="n">
        <f aca="false">Q17*0.99</f>
        <v>180819.54</v>
      </c>
      <c r="S17" s="24" t="n">
        <f aca="false">R17*0.99</f>
        <v>179011.3446</v>
      </c>
      <c r="T17" s="24" t="n">
        <f aca="false">S17*0.99</f>
        <v>177221.231154</v>
      </c>
      <c r="U17" s="24" t="n">
        <f aca="false">T17*0.99</f>
        <v>175449.01884246</v>
      </c>
      <c r="V17" s="24" t="n">
        <f aca="false">U17*0.99</f>
        <v>173694.528654035</v>
      </c>
      <c r="W17" s="24" t="n">
        <f aca="false">V17*0.99</f>
        <v>171957.583367495</v>
      </c>
      <c r="X17" s="24" t="n">
        <f aca="false">W17*0.99</f>
        <v>170238.00753382</v>
      </c>
      <c r="Y17" s="24" t="n">
        <f aca="false">X17*0.99</f>
        <v>168535.627458482</v>
      </c>
      <c r="Z17" s="24" t="n">
        <f aca="false">Y17*0.99</f>
        <v>166850.271183897</v>
      </c>
      <c r="AA17" s="24" t="n">
        <f aca="false">Z17*0.99</f>
        <v>165181.768472058</v>
      </c>
      <c r="AB17" s="24" t="n">
        <f aca="false">AA17*0.99</f>
        <v>163529.950787338</v>
      </c>
    </row>
    <row r="18" customFormat="false" ht="12.8" hidden="false" customHeight="false" outlineLevel="0" collapsed="false">
      <c r="A18" s="0" t="s">
        <v>50</v>
      </c>
      <c r="B18" s="24" t="n">
        <v>54998</v>
      </c>
      <c r="C18" s="24" t="n">
        <f aca="false">50205</f>
        <v>50205</v>
      </c>
      <c r="D18" s="24" t="n">
        <f aca="false">(79084)-C18</f>
        <v>28879</v>
      </c>
      <c r="E18" s="24" t="n">
        <f aca="false">(93638)-(D18+C18)</f>
        <v>14554</v>
      </c>
      <c r="F18" s="24" t="n">
        <f aca="false">(116527)-(E18+D18+C18)</f>
        <v>22889</v>
      </c>
      <c r="G18" s="25" t="n">
        <f aca="false">SUM(C18:F18)</f>
        <v>116527</v>
      </c>
      <c r="H18" s="24" t="n">
        <f aca="false">5192</f>
        <v>5192</v>
      </c>
      <c r="I18" s="24" t="n">
        <f aca="false">(41668)-H18</f>
        <v>36476</v>
      </c>
      <c r="J18" s="24" t="n">
        <f aca="false">(83214)-(I18+H18)</f>
        <v>41546</v>
      </c>
      <c r="K18" s="24" t="n">
        <f aca="false">(108277)-(J18+I18+H18)</f>
        <v>25063</v>
      </c>
      <c r="L18" s="25" t="n">
        <f aca="false">SUM(H18:K18)</f>
        <v>108277</v>
      </c>
      <c r="M18" s="24" t="n">
        <f aca="false">1852</f>
        <v>1852</v>
      </c>
      <c r="N18" s="21"/>
      <c r="O18" s="24" t="n">
        <f aca="false">B18</f>
        <v>54998</v>
      </c>
      <c r="P18" s="24" t="n">
        <f aca="false">G18</f>
        <v>116527</v>
      </c>
      <c r="Q18" s="24" t="n">
        <f aca="false">L18</f>
        <v>108277</v>
      </c>
      <c r="R18" s="24" t="n">
        <f aca="false">Q18*0.99</f>
        <v>107194.23</v>
      </c>
      <c r="S18" s="24" t="n">
        <f aca="false">R18*0.99</f>
        <v>106122.2877</v>
      </c>
      <c r="T18" s="24" t="n">
        <f aca="false">S18*0.99</f>
        <v>105061.064823</v>
      </c>
      <c r="U18" s="24" t="n">
        <f aca="false">T18*0.99</f>
        <v>104010.45417477</v>
      </c>
      <c r="V18" s="24" t="n">
        <f aca="false">U18*0.99</f>
        <v>102970.349633022</v>
      </c>
      <c r="W18" s="24" t="n">
        <f aca="false">V18*0.99</f>
        <v>101940.646136692</v>
      </c>
      <c r="X18" s="24" t="n">
        <f aca="false">W18*0.99</f>
        <v>100921.239675325</v>
      </c>
      <c r="Y18" s="24" t="n">
        <f aca="false">X18*0.99</f>
        <v>99912.0272785719</v>
      </c>
      <c r="Z18" s="24" t="n">
        <f aca="false">Y18*0.99</f>
        <v>98912.9070057862</v>
      </c>
      <c r="AA18" s="24" t="n">
        <f aca="false">Z18*0.99</f>
        <v>97923.7779357283</v>
      </c>
      <c r="AB18" s="24" t="n">
        <f aca="false">AA18*0.99</f>
        <v>96944.540156371</v>
      </c>
    </row>
    <row r="19" customFormat="false" ht="12.8" hidden="false" customHeight="false" outlineLevel="0" collapsed="false">
      <c r="A19" s="0" t="s">
        <v>51</v>
      </c>
      <c r="B19" s="26" t="n">
        <f aca="false">B17-B18</f>
        <v>179185</v>
      </c>
      <c r="C19" s="26" t="n">
        <f aca="false">C17-C18</f>
        <v>-10339</v>
      </c>
      <c r="D19" s="26" t="n">
        <f aca="false">+D17-D18</f>
        <v>-19503</v>
      </c>
      <c r="E19" s="26" t="n">
        <f aca="false">+E17-E18</f>
        <v>42972</v>
      </c>
      <c r="F19" s="26" t="n">
        <f aca="false">+F17-F18</f>
        <v>156578</v>
      </c>
      <c r="G19" s="27" t="n">
        <f aca="false">SUM(C19:F19)</f>
        <v>169708</v>
      </c>
      <c r="H19" s="26" t="n">
        <f aca="false">+H17-H18</f>
        <v>14770</v>
      </c>
      <c r="I19" s="26" t="n">
        <f aca="false">+I17-I18</f>
        <v>48728</v>
      </c>
      <c r="J19" s="26" t="n">
        <f aca="false">+J17-J18</f>
        <v>-13745</v>
      </c>
      <c r="K19" s="26" t="n">
        <f aca="false">+K17-K18</f>
        <v>24616</v>
      </c>
      <c r="L19" s="27" t="n">
        <f aca="false">SUM(H19:K19)</f>
        <v>74369</v>
      </c>
      <c r="M19" s="26" t="n">
        <f aca="false">+M17-M18</f>
        <v>48218</v>
      </c>
      <c r="N19" s="21"/>
      <c r="O19" s="26" t="n">
        <f aca="false">+O17-O18</f>
        <v>179185</v>
      </c>
      <c r="P19" s="26" t="n">
        <f aca="false">+P17-P18</f>
        <v>169708</v>
      </c>
      <c r="Q19" s="26" t="n">
        <f aca="false">+Q17-Q18</f>
        <v>74369</v>
      </c>
      <c r="R19" s="26" t="n">
        <f aca="false">+R17-R18</f>
        <v>73625.31</v>
      </c>
      <c r="S19" s="26" t="n">
        <f aca="false">+S17-S18</f>
        <v>72889.0569</v>
      </c>
      <c r="T19" s="26" t="n">
        <f aca="false">+T17-T18</f>
        <v>72160.166331</v>
      </c>
      <c r="U19" s="26" t="n">
        <f aca="false">+U17-U18</f>
        <v>71438.56466769</v>
      </c>
      <c r="V19" s="26" t="n">
        <f aca="false">+V17-V18</f>
        <v>70724.1790210131</v>
      </c>
      <c r="W19" s="26" t="n">
        <f aca="false">+W17-W18</f>
        <v>70016.937230803</v>
      </c>
      <c r="X19" s="26" t="n">
        <f aca="false">+X17-X18</f>
        <v>69316.767858495</v>
      </c>
      <c r="Y19" s="26" t="n">
        <f aca="false">+Y17-Y18</f>
        <v>68623.60017991</v>
      </c>
      <c r="Z19" s="26" t="n">
        <f aca="false">+Z17-Z18</f>
        <v>67937.3641781109</v>
      </c>
      <c r="AA19" s="26" t="n">
        <f aca="false">+AA17-AA18</f>
        <v>67257.9905363298</v>
      </c>
      <c r="AB19" s="26" t="n">
        <f aca="false">+AB17-AB18</f>
        <v>66585.4106309665</v>
      </c>
    </row>
    <row r="20" customFormat="false" ht="12.8" hidden="false" customHeight="false" outlineLevel="0" collapsed="false">
      <c r="A20" s="33" t="s">
        <v>52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21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</row>
    <row r="21" customFormat="false" ht="12.8" hidden="false" customHeight="false" outlineLevel="0" collapsed="false">
      <c r="A21" s="0" t="s">
        <v>53</v>
      </c>
      <c r="B21" s="30" t="n">
        <f aca="false">+B11+B15+B19</f>
        <v>229622</v>
      </c>
      <c r="C21" s="30" t="n">
        <f aca="false">+C11+C15+C19</f>
        <v>60413</v>
      </c>
      <c r="D21" s="30" t="n">
        <f aca="false">+D11+D15+D19</f>
        <v>122750</v>
      </c>
      <c r="E21" s="30" t="n">
        <f aca="false">+E11+E15+E19</f>
        <v>110254</v>
      </c>
      <c r="F21" s="30" t="n">
        <f aca="false">+F11+F15+F19</f>
        <v>22807</v>
      </c>
      <c r="G21" s="34" t="n">
        <f aca="false">SUM(C21:F21)</f>
        <v>316224</v>
      </c>
      <c r="H21" s="30" t="n">
        <f aca="false">+H11+H15+H19</f>
        <v>73623</v>
      </c>
      <c r="I21" s="30" t="n">
        <f aca="false">+I11+I15+I19</f>
        <v>166816</v>
      </c>
      <c r="J21" s="30" t="n">
        <f aca="false">+J11+J15+J19</f>
        <v>113343</v>
      </c>
      <c r="K21" s="30" t="n">
        <f aca="false">+K11+K15+K19</f>
        <v>58300</v>
      </c>
      <c r="L21" s="34" t="n">
        <f aca="false">SUM(H21:K21)</f>
        <v>412082</v>
      </c>
      <c r="M21" s="30" t="n">
        <f aca="false">+M11+M15+M19</f>
        <v>73307</v>
      </c>
      <c r="N21" s="21"/>
      <c r="O21" s="30" t="n">
        <f aca="false">+O11+O15+O19</f>
        <v>229622</v>
      </c>
      <c r="P21" s="30" t="n">
        <f aca="false">+P11+P15+P19</f>
        <v>316224</v>
      </c>
      <c r="Q21" s="30" t="n">
        <f aca="false">+Q11+Q15+Q19</f>
        <v>412082</v>
      </c>
      <c r="R21" s="30" t="n">
        <f aca="false">+R11+R15+R19</f>
        <v>407961.18</v>
      </c>
      <c r="S21" s="30" t="n">
        <f aca="false">+S11+S15+S19</f>
        <v>403881.5682</v>
      </c>
      <c r="T21" s="30" t="n">
        <f aca="false">+T11+T15+T19</f>
        <v>399842.752518001</v>
      </c>
      <c r="U21" s="30" t="n">
        <f aca="false">+U11+U15+U19</f>
        <v>395844.324992821</v>
      </c>
      <c r="V21" s="30" t="n">
        <f aca="false">+V11+V15+V19</f>
        <v>391885.881742892</v>
      </c>
      <c r="W21" s="30" t="n">
        <f aca="false">+W11+W15+W19</f>
        <v>387967.022925463</v>
      </c>
      <c r="X21" s="30" t="n">
        <f aca="false">+X11+X15+X19</f>
        <v>384087.352696208</v>
      </c>
      <c r="Y21" s="30" t="n">
        <f aca="false">+Y11+Y15+Y19</f>
        <v>380246.479169246</v>
      </c>
      <c r="Z21" s="30" t="n">
        <f aca="false">+Z11+Z15+Z19</f>
        <v>376444.014377554</v>
      </c>
      <c r="AA21" s="30" t="n">
        <f aca="false">+AA11+AA15+AA19</f>
        <v>372679.574233778</v>
      </c>
      <c r="AB21" s="30" t="n">
        <f aca="false">+AB11+AB15+AB19</f>
        <v>368952.77849144</v>
      </c>
    </row>
    <row r="22" customFormat="false" ht="12.8" hidden="false" customHeight="false" outlineLevel="0" collapsed="false">
      <c r="A22" s="0" t="s">
        <v>54</v>
      </c>
      <c r="B22" s="24" t="n">
        <v>31365</v>
      </c>
      <c r="C22" s="24" t="n">
        <v>0</v>
      </c>
      <c r="D22" s="24" t="n">
        <v>0</v>
      </c>
      <c r="E22" s="24" t="n">
        <f aca="false">(0)-(D22+C22)</f>
        <v>0</v>
      </c>
      <c r="F22" s="24" t="n">
        <v>6127</v>
      </c>
      <c r="G22" s="25" t="n">
        <f aca="false">SUM(C22:F22)</f>
        <v>6127</v>
      </c>
      <c r="H22" s="24" t="n">
        <v>0</v>
      </c>
      <c r="I22" s="24" t="n">
        <f aca="false">(0)-H22</f>
        <v>0</v>
      </c>
      <c r="J22" s="24" t="n">
        <f aca="false">(0)-(I22+H22)</f>
        <v>0</v>
      </c>
      <c r="K22" s="24" t="n">
        <f aca="false">(0)-(J22+I22+H22)</f>
        <v>0</v>
      </c>
      <c r="L22" s="25" t="n">
        <f aca="false">SUM(H22:K22)</f>
        <v>0</v>
      </c>
      <c r="M22" s="24" t="n">
        <v>0</v>
      </c>
      <c r="N22" s="21"/>
      <c r="O22" s="24" t="n">
        <f aca="false">B22</f>
        <v>31365</v>
      </c>
      <c r="P22" s="24" t="n">
        <f aca="false">G22</f>
        <v>6127</v>
      </c>
      <c r="Q22" s="24" t="n">
        <f aca="false">L22</f>
        <v>0</v>
      </c>
      <c r="R22" s="24" t="n">
        <f aca="false">Q22*0.99</f>
        <v>0</v>
      </c>
      <c r="S22" s="24" t="n">
        <f aca="false">R22*0.99</f>
        <v>0</v>
      </c>
      <c r="T22" s="24" t="n">
        <f aca="false">S22*0.99</f>
        <v>0</v>
      </c>
      <c r="U22" s="24" t="n">
        <f aca="false">T22*0.99</f>
        <v>0</v>
      </c>
      <c r="V22" s="24" t="n">
        <f aca="false">U22*0.99</f>
        <v>0</v>
      </c>
      <c r="W22" s="24" t="n">
        <f aca="false">V22*0.99</f>
        <v>0</v>
      </c>
      <c r="X22" s="24" t="n">
        <f aca="false">W22*0.99</f>
        <v>0</v>
      </c>
      <c r="Y22" s="24" t="n">
        <f aca="false">X22*0.99</f>
        <v>0</v>
      </c>
      <c r="Z22" s="24" t="n">
        <f aca="false">Y22*0.99</f>
        <v>0</v>
      </c>
      <c r="AA22" s="24" t="n">
        <f aca="false">Z22*0.99</f>
        <v>0</v>
      </c>
      <c r="AB22" s="24" t="n">
        <f aca="false">AA22*0.99</f>
        <v>0</v>
      </c>
    </row>
    <row r="23" customFormat="false" ht="12.8" hidden="false" customHeight="false" outlineLevel="0" collapsed="false">
      <c r="A23" s="0" t="s">
        <v>55</v>
      </c>
      <c r="B23" s="35" t="n">
        <f aca="false">+B21-B22</f>
        <v>198257</v>
      </c>
      <c r="C23" s="35" t="n">
        <f aca="false">+C21-C22</f>
        <v>60413</v>
      </c>
      <c r="D23" s="35" t="n">
        <f aca="false">+D21-D22</f>
        <v>122750</v>
      </c>
      <c r="E23" s="35" t="n">
        <f aca="false">+E21-E22</f>
        <v>110254</v>
      </c>
      <c r="F23" s="35" t="n">
        <f aca="false">+F21-F22</f>
        <v>16680</v>
      </c>
      <c r="G23" s="36" t="n">
        <f aca="false">SUM(C23:F23)</f>
        <v>310097</v>
      </c>
      <c r="H23" s="35" t="n">
        <f aca="false">+H21-H22</f>
        <v>73623</v>
      </c>
      <c r="I23" s="35" t="n">
        <f aca="false">+I21-I22</f>
        <v>166816</v>
      </c>
      <c r="J23" s="35" t="n">
        <f aca="false">+J21-J22</f>
        <v>113343</v>
      </c>
      <c r="K23" s="35" t="n">
        <f aca="false">+K21-K22</f>
        <v>58300</v>
      </c>
      <c r="L23" s="36" t="n">
        <f aca="false">SUM(H23:K23)</f>
        <v>412082</v>
      </c>
      <c r="M23" s="35" t="n">
        <f aca="false">+M21-M22</f>
        <v>73307</v>
      </c>
      <c r="N23" s="21"/>
      <c r="O23" s="35" t="n">
        <f aca="false">+O21-O22</f>
        <v>198257</v>
      </c>
      <c r="P23" s="35" t="n">
        <f aca="false">+P21-P22</f>
        <v>310097</v>
      </c>
      <c r="Q23" s="35" t="n">
        <f aca="false">+Q21-Q22</f>
        <v>412082</v>
      </c>
      <c r="R23" s="35" t="n">
        <f aca="false">+R21-R22*(1+C26)</f>
        <v>407961.18</v>
      </c>
      <c r="S23" s="35" t="n">
        <f aca="false">+S21-S22*(1+D26)</f>
        <v>403881.5682</v>
      </c>
      <c r="T23" s="35" t="n">
        <f aca="false">+T21-T22*(1+E26)</f>
        <v>399842.752518001</v>
      </c>
      <c r="U23" s="35" t="n">
        <f aca="false">+U21-U22*(1+F26)</f>
        <v>395844.324992821</v>
      </c>
      <c r="V23" s="35" t="n">
        <f aca="false">+V21-V22*(1+G26)</f>
        <v>391885.881742892</v>
      </c>
      <c r="W23" s="35" t="n">
        <f aca="false">+W21-W22*(1+H26)</f>
        <v>387967.022925463</v>
      </c>
      <c r="X23" s="35" t="n">
        <f aca="false">+X21-X22*(1+I26)</f>
        <v>384087.352696208</v>
      </c>
      <c r="Y23" s="35" t="n">
        <f aca="false">+Y21-Y22*(1+J26)</f>
        <v>380246.479169246</v>
      </c>
      <c r="Z23" s="35" t="n">
        <f aca="false">+Z21-Z22*(1+K26)</f>
        <v>376444.014377554</v>
      </c>
      <c r="AA23" s="35" t="n">
        <f aca="false">+AA21-AA22*(1+L26)</f>
        <v>372679.574233778</v>
      </c>
      <c r="AB23" s="35" t="n">
        <f aca="false">+AB21-AB22*(1+M26)</f>
        <v>368952.77849144</v>
      </c>
    </row>
    <row r="24" customFormat="false" ht="12.8" hidden="false" customHeight="false" outlineLevel="0" collapsed="false">
      <c r="A24" s="6"/>
      <c r="B24" s="6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</row>
    <row r="25" customFormat="false" ht="12.8" hidden="false" customHeight="false" outlineLevel="0" collapsed="false">
      <c r="A25" s="0" t="s">
        <v>56</v>
      </c>
      <c r="B25" s="38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</row>
    <row r="26" customFormat="false" ht="12.8" hidden="false" customHeight="false" outlineLevel="0" collapsed="false">
      <c r="A26" s="0" t="s">
        <v>57</v>
      </c>
      <c r="B26" s="40"/>
      <c r="C26" s="41" t="n">
        <v>0.02</v>
      </c>
      <c r="D26" s="41" t="n">
        <v>0.02</v>
      </c>
      <c r="E26" s="41" t="n">
        <v>0.02</v>
      </c>
      <c r="F26" s="41" t="n">
        <v>0.02</v>
      </c>
      <c r="G26" s="41" t="n">
        <v>0.02</v>
      </c>
      <c r="H26" s="41" t="n">
        <v>0.02</v>
      </c>
      <c r="I26" s="41" t="n">
        <v>0.02</v>
      </c>
      <c r="J26" s="41" t="n">
        <v>0.02</v>
      </c>
      <c r="K26" s="41" t="n">
        <v>0.02</v>
      </c>
      <c r="L26" s="41" t="n">
        <v>0.02</v>
      </c>
      <c r="M26" s="41" t="n">
        <v>0.02</v>
      </c>
      <c r="N26" s="41" t="n">
        <v>0.02</v>
      </c>
      <c r="O26" s="41" t="n">
        <v>0.02</v>
      </c>
      <c r="P26" s="41" t="n">
        <v>0.02</v>
      </c>
      <c r="Q26" s="41" t="n">
        <v>0.02</v>
      </c>
      <c r="R26" s="41" t="n">
        <v>0.08</v>
      </c>
      <c r="S26" s="41" t="n">
        <v>0.08</v>
      </c>
      <c r="T26" s="41" t="n">
        <v>0.08</v>
      </c>
      <c r="U26" s="41" t="n">
        <v>0.08</v>
      </c>
      <c r="V26" s="41" t="n">
        <v>0.08</v>
      </c>
      <c r="W26" s="41" t="n">
        <v>0.08</v>
      </c>
      <c r="X26" s="41" t="n">
        <v>0.08</v>
      </c>
      <c r="Y26" s="41" t="n">
        <v>0.08</v>
      </c>
      <c r="Z26" s="41" t="n">
        <v>0.08</v>
      </c>
      <c r="AA26" s="41" t="n">
        <v>0.08</v>
      </c>
      <c r="AB26" s="41" t="n">
        <v>0.08</v>
      </c>
    </row>
    <row r="27" customFormat="false" ht="12.8" hidden="false" customHeight="false" outlineLevel="0" collapsed="false">
      <c r="A27" s="0" t="s">
        <v>58</v>
      </c>
      <c r="B27" s="40"/>
      <c r="C27" s="42" t="n">
        <v>0.07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</row>
    <row r="28" customFormat="false" ht="12.8" hidden="false" customHeight="false" outlineLevel="0" collapsed="false">
      <c r="B28" s="40"/>
      <c r="C28" s="42"/>
      <c r="D28" s="43"/>
      <c r="E28" s="43"/>
      <c r="F28" s="43"/>
      <c r="G28" s="43"/>
      <c r="H28" s="43"/>
      <c r="I28" s="43"/>
      <c r="J28" s="43"/>
      <c r="K28" s="43"/>
      <c r="L28" s="43"/>
      <c r="M28" s="43"/>
    </row>
    <row r="29" customFormat="false" ht="12.8" hidden="false" customHeight="false" outlineLevel="0" collapsed="false">
      <c r="A29" s="0" t="s">
        <v>59</v>
      </c>
      <c r="B29" s="40"/>
      <c r="C29" s="16" t="n">
        <f aca="false">NPV(C27,R23:AB23)</f>
        <v>2930340.5100527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</row>
    <row r="30" customFormat="false" ht="12.8" hidden="false" customHeight="false" outlineLevel="0" collapsed="false">
      <c r="A30" s="0" t="s">
        <v>18</v>
      </c>
      <c r="B30" s="40"/>
      <c r="C30" s="16" t="n">
        <f aca="false">+Опис!E7</f>
        <v>2076709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</row>
    <row r="31" customFormat="false" ht="12.8" hidden="false" customHeight="false" outlineLevel="0" collapsed="false">
      <c r="A31" s="0" t="s">
        <v>60</v>
      </c>
      <c r="B31" s="40"/>
      <c r="C31" s="16" t="n">
        <f aca="false">C29+C30</f>
        <v>5007049.51005271</v>
      </c>
    </row>
    <row r="32" customFormat="false" ht="12.8" hidden="false" customHeight="false" outlineLevel="0" collapsed="false">
      <c r="A32" s="0" t="s">
        <v>61</v>
      </c>
      <c r="B32" s="40"/>
      <c r="C32" s="16" t="n">
        <f aca="false">C31/(Опис!E6)</f>
        <v>1771.98862908152</v>
      </c>
    </row>
    <row r="33" customFormat="false" ht="12.8" hidden="false" customHeight="false" outlineLevel="0" collapsed="false">
      <c r="A33" s="0" t="s">
        <v>62</v>
      </c>
      <c r="B33" s="40"/>
      <c r="C33" s="13" t="n">
        <f aca="false">Опис!E5</f>
        <v>1389.17</v>
      </c>
    </row>
    <row r="34" customFormat="false" ht="12.8" hidden="false" customHeight="false" outlineLevel="0" collapsed="false">
      <c r="A34" s="0" t="s">
        <v>63</v>
      </c>
      <c r="B34" s="40"/>
      <c r="C34" s="44" t="n">
        <f aca="false">E35/C33-1</f>
        <v>0.590707241387116</v>
      </c>
      <c r="D34" s="1" t="s">
        <v>64</v>
      </c>
      <c r="E34" s="1" t="s">
        <v>65</v>
      </c>
      <c r="F34" s="1" t="s">
        <v>66</v>
      </c>
    </row>
    <row r="35" customFormat="false" ht="12.8" hidden="false" customHeight="false" outlineLevel="0" collapsed="false">
      <c r="A35" s="0" t="s">
        <v>67</v>
      </c>
      <c r="B35" s="40"/>
      <c r="C35" s="45" t="n">
        <f aca="false">C32*1.015</f>
        <v>1798.56845851774</v>
      </c>
      <c r="D35" s="46" t="n">
        <f aca="false">C33*0.0296*10</f>
        <v>411.19432</v>
      </c>
      <c r="E35" s="46" t="n">
        <f aca="false">C35+D35</f>
        <v>2209.76277851774</v>
      </c>
    </row>
    <row r="36" customFormat="false" ht="12.8" hidden="false" customHeight="false" outlineLevel="0" collapsed="false">
      <c r="A36" s="0" t="s">
        <v>68</v>
      </c>
      <c r="B36" s="40"/>
      <c r="C36" s="45" t="n">
        <f aca="false">C32-C35</f>
        <v>-26.5798294362226</v>
      </c>
    </row>
    <row r="37" customFormat="false" ht="12.8" hidden="false" customHeight="false" outlineLevel="0" collapsed="false">
      <c r="B37" s="47" t="s">
        <v>69</v>
      </c>
      <c r="G37" s="47" t="s">
        <v>69</v>
      </c>
      <c r="L37" s="47" t="s">
        <v>69</v>
      </c>
    </row>
    <row r="38" customFormat="false" ht="12.8" hidden="false" customHeight="false" outlineLevel="0" collapsed="false">
      <c r="A38" s="0" t="s">
        <v>70</v>
      </c>
      <c r="B38" s="48" t="n">
        <f aca="false">B6/B4</f>
        <v>0.0325867154023519</v>
      </c>
      <c r="C38" s="49" t="n">
        <f aca="false">C6/C4</f>
        <v>0.118863881855046</v>
      </c>
      <c r="D38" s="49" t="n">
        <f aca="false">D6/D4</f>
        <v>0.0813760621893755</v>
      </c>
      <c r="E38" s="49" t="n">
        <f aca="false">E6/E4</f>
        <v>0.0707078876407488</v>
      </c>
      <c r="F38" s="49" t="n">
        <f aca="false">F6/F4</f>
        <v>-0.10305565673021</v>
      </c>
      <c r="G38" s="48" t="n">
        <f aca="false">G6/G4</f>
        <v>0.0479233476596787</v>
      </c>
      <c r="H38" s="49" t="n">
        <f aca="false">H6/H4</f>
        <v>0.134640456261493</v>
      </c>
      <c r="I38" s="49" t="n">
        <f aca="false">I6/I4</f>
        <v>0.0996987713209745</v>
      </c>
      <c r="J38" s="49" t="n">
        <f aca="false">J6/J4</f>
        <v>0.057097013807492</v>
      </c>
      <c r="K38" s="49" t="n">
        <f aca="false">K6/K4</f>
        <v>0.0561696707118939</v>
      </c>
      <c r="L38" s="48" t="n">
        <f aca="false">L6/L4</f>
        <v>0.0811243238472893</v>
      </c>
      <c r="M38" s="49" t="n">
        <f aca="false">M6/M4</f>
        <v>0.0660785627754723</v>
      </c>
    </row>
    <row r="39" customFormat="false" ht="12.8" hidden="false" customHeight="false" outlineLevel="0" collapsed="false">
      <c r="A39" s="0" t="s">
        <v>71</v>
      </c>
      <c r="B39" s="48" t="n">
        <f aca="false">B11/B4</f>
        <v>0.000381381121593384</v>
      </c>
      <c r="C39" s="49" t="n">
        <f aca="false">C11/C4</f>
        <v>0.0844686841499478</v>
      </c>
      <c r="D39" s="49" t="n">
        <f aca="false">D11/D4</f>
        <v>0.0587386345084539</v>
      </c>
      <c r="E39" s="49" t="n">
        <f aca="false">E11/E4</f>
        <v>0.059856173155494</v>
      </c>
      <c r="F39" s="49" t="n">
        <f aca="false">F11/F4</f>
        <v>-0.156482510578444</v>
      </c>
      <c r="G39" s="48" t="n">
        <f aca="false">G11/G4</f>
        <v>0.0194562405594775</v>
      </c>
      <c r="H39" s="49" t="n">
        <f aca="false">H11/H4</f>
        <v>0.0798783189442229</v>
      </c>
      <c r="I39" s="49" t="n">
        <f aca="false">I11/I4</f>
        <v>0.0831572419413657</v>
      </c>
      <c r="J39" s="49" t="n">
        <f aca="false">J11/J4</f>
        <v>0.0406124960813655</v>
      </c>
      <c r="K39" s="49" t="n">
        <f aca="false">K11/K4</f>
        <v>0.0298662862983501</v>
      </c>
      <c r="L39" s="48" t="n">
        <f aca="false">L11/L4</f>
        <v>0.0561555194723919</v>
      </c>
      <c r="M39" s="49" t="n">
        <f aca="false">M11/M4</f>
        <v>0.0320656236306931</v>
      </c>
    </row>
    <row r="40" customFormat="false" ht="12.8" hidden="false" customHeight="false" outlineLevel="0" collapsed="false">
      <c r="A40" s="0" t="s">
        <v>72</v>
      </c>
      <c r="B40" s="48" t="n">
        <f aca="false">B23/B4</f>
        <v>0.0407389423619286</v>
      </c>
      <c r="C40" s="49" t="n">
        <f aca="false">C23/C4</f>
        <v>0.0713178569109722</v>
      </c>
      <c r="D40" s="49" t="n">
        <f aca="false">D23/D4</f>
        <v>0.0915053922953578</v>
      </c>
      <c r="E40" s="49" t="n">
        <f aca="false">E23/E4</f>
        <v>0.104905298453072</v>
      </c>
      <c r="F40" s="49" t="n">
        <f aca="false">F23/F4</f>
        <v>0.0195348412325688</v>
      </c>
      <c r="G40" s="48" t="n">
        <f aca="false">G23/G4</f>
        <v>0.0757555288512629</v>
      </c>
      <c r="H40" s="49" t="n">
        <f aca="false">H23/H4</f>
        <v>0.10421736120843</v>
      </c>
      <c r="I40" s="49" t="n">
        <f aca="false">I23/I4</f>
        <v>0.119047058328177</v>
      </c>
      <c r="J40" s="49" t="n">
        <f aca="false">J23/J4</f>
        <v>0.0875171995237411</v>
      </c>
      <c r="K40" s="49" t="n">
        <f aca="false">K23/K4</f>
        <v>0.0444695311248579</v>
      </c>
      <c r="L40" s="48" t="n">
        <f aca="false">L23/L4</f>
        <v>0.0874203031862603</v>
      </c>
      <c r="M40" s="49" t="n">
        <f aca="false">M23/M4</f>
        <v>0.0944750882800217</v>
      </c>
    </row>
    <row r="41" customFormat="false" ht="12.8" hidden="false" customHeight="false" outlineLevel="0" collapsed="false">
      <c r="A41" s="0" t="s">
        <v>73</v>
      </c>
      <c r="B41" s="48" t="n">
        <f aca="false">B22/B21</f>
        <v>0.136594054576652</v>
      </c>
      <c r="C41" s="49" t="n">
        <f aca="false">C22/C21</f>
        <v>0</v>
      </c>
      <c r="D41" s="49" t="n">
        <f aca="false">D22/D21</f>
        <v>0</v>
      </c>
      <c r="E41" s="49" t="n">
        <f aca="false">E22/E21</f>
        <v>0</v>
      </c>
      <c r="F41" s="49" t="n">
        <f aca="false">F22/F21</f>
        <v>0.268645591265839</v>
      </c>
      <c r="G41" s="48" t="n">
        <f aca="false">G22/G21</f>
        <v>0.0193755059704513</v>
      </c>
      <c r="H41" s="49" t="n">
        <f aca="false">H22/H21</f>
        <v>0</v>
      </c>
      <c r="I41" s="49" t="n">
        <f aca="false">I22/I21</f>
        <v>0</v>
      </c>
      <c r="J41" s="49" t="n">
        <f aca="false">J22/J21</f>
        <v>0</v>
      </c>
      <c r="K41" s="49" t="n">
        <f aca="false">K22/K21</f>
        <v>0</v>
      </c>
      <c r="L41" s="48" t="n">
        <f aca="false">L22/L21</f>
        <v>0</v>
      </c>
      <c r="M41" s="49" t="n">
        <f aca="false">M22/M21</f>
        <v>0</v>
      </c>
    </row>
    <row r="42" customFormat="false" ht="12.8" hidden="false" customHeight="false" outlineLevel="0" collapsed="false">
      <c r="A42" s="50" t="s">
        <v>74</v>
      </c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</row>
    <row r="43" customFormat="false" ht="12.8" hidden="false" customHeight="false" outlineLevel="0" collapsed="false">
      <c r="A43" s="51"/>
      <c r="B43" s="47" t="s">
        <v>69</v>
      </c>
      <c r="C43" s="49"/>
      <c r="D43" s="49"/>
      <c r="E43" s="49"/>
      <c r="F43" s="49"/>
      <c r="G43" s="47" t="s">
        <v>69</v>
      </c>
      <c r="H43" s="49"/>
      <c r="I43" s="49"/>
      <c r="J43" s="49"/>
      <c r="K43" s="49"/>
      <c r="L43" s="47" t="s">
        <v>69</v>
      </c>
      <c r="M43" s="49"/>
    </row>
    <row r="44" customFormat="false" ht="12.8" hidden="false" customHeight="false" outlineLevel="0" collapsed="false">
      <c r="A44" s="52" t="s">
        <v>75</v>
      </c>
      <c r="B44" s="48" t="n">
        <f aca="false">B11/SUM(B11,B15,B19)</f>
        <v>0.00808284920434453</v>
      </c>
      <c r="C44" s="53" t="n">
        <f aca="false">C11/SUM(C11,C15,C19)</f>
        <v>1.18439739791105</v>
      </c>
      <c r="D44" s="53" t="n">
        <f aca="false">D11/SUM(D11,D15,D19)</f>
        <v>0.641914460285132</v>
      </c>
      <c r="E44" s="53" t="n">
        <f aca="false">E11/SUM(E11,E15,E19)</f>
        <v>0.570573403232536</v>
      </c>
      <c r="F44" s="53" t="n">
        <f aca="false">F11/SUM(F11,F15,F19)</f>
        <v>-5.85846450651116</v>
      </c>
      <c r="G44" s="48" t="n">
        <f aca="false">G11/SUM(G11,G15,G19)</f>
        <v>0.25185311677798</v>
      </c>
      <c r="H44" s="53" t="n">
        <f aca="false">H11/SUM(H11,H15,H19)</f>
        <v>0.766458851174225</v>
      </c>
      <c r="I44" s="53" t="n">
        <f aca="false">I11/SUM(I11,I15,I19)</f>
        <v>0.698524122386342</v>
      </c>
      <c r="J44" s="53" t="n">
        <f aca="false">J11/SUM(J11,J15,J19)</f>
        <v>0.464051595599199</v>
      </c>
      <c r="K44" s="53" t="n">
        <f aca="false">K11/SUM(K11,K15,K19)</f>
        <v>0.671612349914237</v>
      </c>
      <c r="L44" s="48" t="n">
        <f aca="false">L11/SUM(L11,L15,L19)</f>
        <v>0.642362442426507</v>
      </c>
      <c r="M44" s="53" t="n">
        <f aca="false">M11/SUM(M11,M15,M19)</f>
        <v>0.339408242050554</v>
      </c>
    </row>
    <row r="45" customFormat="false" ht="12.8" hidden="false" customHeight="false" outlineLevel="0" collapsed="false">
      <c r="A45" s="54" t="s">
        <v>76</v>
      </c>
      <c r="B45" s="48" t="n">
        <f aca="false">B15/SUM(B11,B15,B19)</f>
        <v>0.2115694489204</v>
      </c>
      <c r="C45" s="53" t="n">
        <f aca="false">C15/SUM(C11,C15,C19)</f>
        <v>-0.0132587357025806</v>
      </c>
      <c r="D45" s="53" t="n">
        <f aca="false">D15/SUM(D11,D15,D19)</f>
        <v>0.516969450101833</v>
      </c>
      <c r="E45" s="53" t="n">
        <f aca="false">E15/SUM(E11,E15,E19)</f>
        <v>0.0396720300397264</v>
      </c>
      <c r="F45" s="53" t="n">
        <f aca="false">F15/SUM(F11,F15,F19)</f>
        <v>-0.0068838514491165</v>
      </c>
      <c r="G45" s="48" t="n">
        <f aca="false">G15/SUM(G11,G15,G19)</f>
        <v>0.211476674762194</v>
      </c>
      <c r="H45" s="53" t="n">
        <f aca="false">H15/SUM(H11,H15,H19)</f>
        <v>0.032924493704413</v>
      </c>
      <c r="I45" s="53" t="n">
        <f aca="false">I15/SUM(I11,I15,I19)</f>
        <v>0.00936960483406867</v>
      </c>
      <c r="J45" s="53" t="n">
        <f aca="false">J15/SUM(J11,J15,J19)</f>
        <v>0.657217472627335</v>
      </c>
      <c r="K45" s="53" t="n">
        <f aca="false">K15/SUM(K11,K15,K19)</f>
        <v>-0.0938421955403087</v>
      </c>
      <c r="L45" s="48" t="n">
        <f aca="false">L15/SUM(L11,L15,L19)</f>
        <v>0.177166195077679</v>
      </c>
      <c r="M45" s="53" t="n">
        <f aca="false">M15/SUM(M11,M15,M19)</f>
        <v>0.00283738251463025</v>
      </c>
    </row>
    <row r="46" customFormat="false" ht="12.8" hidden="false" customHeight="false" outlineLevel="0" collapsed="false">
      <c r="A46" s="55" t="s">
        <v>77</v>
      </c>
      <c r="B46" s="48" t="n">
        <f aca="false">B19/SUM(B11,B15,B19)</f>
        <v>0.780347701875256</v>
      </c>
      <c r="C46" s="53" t="n">
        <f aca="false">C19/SUM(C11,C15,C19)</f>
        <v>-0.171138662208465</v>
      </c>
      <c r="D46" s="53" t="n">
        <f aca="false">D19/SUM(D11,D15,D19)</f>
        <v>-0.158883910386965</v>
      </c>
      <c r="E46" s="53" t="n">
        <f aca="false">E19/SUM(E11,E15,E19)</f>
        <v>0.389754566727738</v>
      </c>
      <c r="F46" s="53" t="n">
        <f aca="false">F19/SUM(F11,F15,F19)</f>
        <v>6.86534835796028</v>
      </c>
      <c r="G46" s="48" t="n">
        <f aca="false">G19/SUM(G11,G15,G19)</f>
        <v>0.536670208459826</v>
      </c>
      <c r="H46" s="53" t="n">
        <f aca="false">H19/SUM(H11,H15,H19)</f>
        <v>0.200616655121361</v>
      </c>
      <c r="I46" s="53" t="n">
        <f aca="false">I19/SUM(I11,I15,I19)</f>
        <v>0.292106272779589</v>
      </c>
      <c r="J46" s="53" t="n">
        <f aca="false">J19/SUM(J11,J15,J19)</f>
        <v>-0.121269068226534</v>
      </c>
      <c r="K46" s="53" t="n">
        <f aca="false">K19/SUM(K11,K15,K19)</f>
        <v>0.422229845626072</v>
      </c>
      <c r="L46" s="48" t="n">
        <f aca="false">L19/SUM(L11,L15,L19)</f>
        <v>0.180471362495814</v>
      </c>
      <c r="M46" s="53" t="n">
        <f aca="false">M19/SUM(M11,M15,M19)</f>
        <v>0.657754375434815</v>
      </c>
    </row>
    <row r="47" customFormat="false" ht="12.8" hidden="false" customHeight="false" outlineLevel="0" collapsed="false">
      <c r="G47" s="43"/>
      <c r="L47" s="19"/>
    </row>
    <row r="48" customFormat="false" ht="12.8" hidden="false" customHeight="false" outlineLevel="0" collapsed="false">
      <c r="A48" s="0" t="s">
        <v>78</v>
      </c>
      <c r="F48" s="49"/>
      <c r="G48" s="48" t="n">
        <f aca="false">(G6-B6)/B6</f>
        <v>0.237003733037381</v>
      </c>
      <c r="H48" s="49" t="n">
        <f aca="false">(H6-C6)/H6</f>
        <v>-0.0586027440466803</v>
      </c>
      <c r="I48" s="49" t="n">
        <f aca="false">(I6-D6)/I6</f>
        <v>0.21861936666094</v>
      </c>
      <c r="J48" s="49" t="n">
        <f aca="false">(J6-E6)/J6</f>
        <v>-0.00496308116733833</v>
      </c>
      <c r="K48" s="49" t="n">
        <f aca="false">(K6-F6)/K6</f>
        <v>2.19495104496259</v>
      </c>
      <c r="L48" s="48" t="n">
        <f aca="false">(L6-G6)/L6</f>
        <v>0.487011119130553</v>
      </c>
      <c r="M48" s="49" t="n">
        <f aca="false">(M6-H6)/M6</f>
        <v>-0.855069919840852</v>
      </c>
    </row>
    <row r="49" customFormat="false" ht="12.8" hidden="false" customHeight="false" outlineLevel="0" collapsed="false">
      <c r="A49" s="0" t="s">
        <v>79</v>
      </c>
      <c r="F49" s="49"/>
      <c r="G49" s="48" t="n">
        <f aca="false">(G5-B5)/B5</f>
        <v>-0.172202103723094</v>
      </c>
      <c r="H49" s="49" t="n">
        <f aca="false">(H5-C5)/H5</f>
        <v>-0.220970290616075</v>
      </c>
      <c r="I49" s="49" t="n">
        <f aca="false">(I5-D5)/I5</f>
        <v>0.0231999029770355</v>
      </c>
      <c r="J49" s="49" t="n">
        <f aca="false">(J5-E5)/J5</f>
        <v>0.200200958442384</v>
      </c>
      <c r="K49" s="49" t="n">
        <f aca="false">(K5-F5)/K5</f>
        <v>0.238826512016202</v>
      </c>
      <c r="L49" s="48" t="n">
        <f aca="false">(L5-G5)/L5</f>
        <v>0.100239229920686</v>
      </c>
      <c r="M49" s="49" t="n">
        <f aca="false">(M5-H5)/M5</f>
        <v>0.156409771660639</v>
      </c>
    </row>
    <row r="50" customFormat="false" ht="12.8" hidden="false" customHeight="false" outlineLevel="0" collapsed="false">
      <c r="A50" s="0" t="s">
        <v>80</v>
      </c>
      <c r="F50" s="49"/>
      <c r="G50" s="48" t="n">
        <f aca="false">(G10-B10)/B10</f>
        <v>-0.256501709968863</v>
      </c>
      <c r="H50" s="49" t="n">
        <f aca="false">(H10-C10)/H10</f>
        <v>0.246859328956212</v>
      </c>
      <c r="I50" s="49" t="n">
        <f aca="false">(I10-D10)/I10</f>
        <v>-0.310108287674188</v>
      </c>
      <c r="J50" s="49" t="n">
        <f aca="false">(J10-E10)/J10</f>
        <v>0.465782940652958</v>
      </c>
      <c r="K50" s="49" t="n">
        <f aca="false">(K10-F10)/K10</f>
        <v>-0.322903375478483</v>
      </c>
      <c r="L50" s="48" t="n">
        <f aca="false">(L10-G10)/L10</f>
        <v>0.00994919199986406</v>
      </c>
      <c r="M50" s="49" t="n">
        <f aca="false">(M10-H10)/M10</f>
        <v>-0.465822976659594</v>
      </c>
    </row>
    <row r="51" customFormat="false" ht="12.8" hidden="false" customHeight="false" outlineLevel="0" collapsed="false">
      <c r="A51" s="0" t="s">
        <v>81</v>
      </c>
      <c r="F51" s="49"/>
      <c r="G51" s="48" t="n">
        <f aca="false">+G48-AVERAGE(G50,G49)</f>
        <v>0.451355639883359</v>
      </c>
      <c r="H51" s="49" t="n">
        <f aca="false">+H48-AVERAGE(H50,H49)</f>
        <v>-0.0715472632167488</v>
      </c>
      <c r="I51" s="49" t="n">
        <f aca="false">+I48-AVERAGE(I50,I49)</f>
        <v>0.362073559009516</v>
      </c>
      <c r="J51" s="49" t="n">
        <f aca="false">+J48-AVERAGE(J50,J49)</f>
        <v>-0.337955030715009</v>
      </c>
      <c r="K51" s="49" t="n">
        <f aca="false">+K48-AVERAGE(K50,K49)</f>
        <v>2.23698947669373</v>
      </c>
      <c r="L51" s="48" t="n">
        <f aca="false">+L48-AVERAGE(L50,L49)</f>
        <v>0.431916908170278</v>
      </c>
      <c r="M51" s="49" t="n">
        <f aca="false">+M48-AVERAGE(M50,M49)</f>
        <v>-0.700363317341374</v>
      </c>
    </row>
    <row r="52" customFormat="false" ht="12.8" hidden="false" customHeight="false" outlineLevel="0" collapsed="false">
      <c r="A52" s="0" t="s">
        <v>82</v>
      </c>
      <c r="G52" s="48" t="n">
        <f aca="false">G23/B23</f>
        <v>1.564116273322</v>
      </c>
      <c r="H52" s="49" t="n">
        <f aca="false">H23/C23</f>
        <v>1.21866154635592</v>
      </c>
      <c r="I52" s="49" t="n">
        <f aca="false">I23/D23</f>
        <v>1.35898981670061</v>
      </c>
      <c r="J52" s="49" t="n">
        <f aca="false">J23/E23</f>
        <v>1.02801712409527</v>
      </c>
      <c r="K52" s="49" t="n">
        <f aca="false">K23/F23</f>
        <v>3.49520383693046</v>
      </c>
      <c r="L52" s="48" t="n">
        <f aca="false">L23/G23</f>
        <v>1.3288809630535</v>
      </c>
      <c r="M52" s="49" t="n">
        <f aca="false">M23/H23</f>
        <v>0.995707863031933</v>
      </c>
    </row>
    <row r="53" customFormat="false" ht="12.8" hidden="false" customHeight="false" outlineLevel="0" collapsed="false">
      <c r="A53" s="56" t="s">
        <v>83</v>
      </c>
      <c r="B53" s="57" t="s">
        <v>83</v>
      </c>
      <c r="C53" s="57"/>
      <c r="D53" s="57"/>
    </row>
    <row r="54" customFormat="false" ht="12.8" hidden="false" customHeight="false" outlineLevel="0" collapsed="false">
      <c r="A54" s="51"/>
      <c r="B54" s="58" t="n">
        <v>2019</v>
      </c>
      <c r="C54" s="22" t="n">
        <v>2020</v>
      </c>
      <c r="D54" s="22" t="n">
        <v>2021</v>
      </c>
    </row>
    <row r="55" customFormat="false" ht="12.8" hidden="false" customHeight="false" outlineLevel="0" collapsed="false">
      <c r="A55" s="0" t="s">
        <v>84</v>
      </c>
      <c r="B55" s="59" t="n">
        <f aca="false">B23/Средства!B25</f>
        <v>0.0264151033896609</v>
      </c>
      <c r="C55" s="59" t="n">
        <f aca="false">G23/Средства!C25</f>
        <v>0.041704368174727</v>
      </c>
      <c r="D55" s="59" t="n">
        <f aca="false">L23/Средства!D25</f>
        <v>0.051347203374086</v>
      </c>
      <c r="F55" s="1" t="n">
        <v>2021</v>
      </c>
    </row>
    <row r="56" customFormat="false" ht="12.8" hidden="false" customHeight="false" outlineLevel="0" collapsed="false">
      <c r="A56" s="0" t="s">
        <v>85</v>
      </c>
      <c r="B56" s="59" t="n">
        <f aca="false">B23/Средства!G25</f>
        <v>0.0358697264769845</v>
      </c>
      <c r="C56" s="60" t="n">
        <f aca="false">G23/Средства!H25</f>
        <v>0.055909709903146</v>
      </c>
      <c r="D56" s="60" t="n">
        <f aca="false">L23/Средства!I25</f>
        <v>0.0675905483914354</v>
      </c>
      <c r="E56" s="1" t="s">
        <v>86</v>
      </c>
      <c r="F56" s="49" t="n">
        <f aca="false">L23/1928473</f>
        <v>0.213683053898084</v>
      </c>
    </row>
    <row r="57" customFormat="false" ht="12.8" hidden="false" customHeight="false" outlineLevel="0" collapsed="false">
      <c r="A57" s="0" t="s">
        <v>87</v>
      </c>
      <c r="B57" s="59" t="n">
        <f aca="false">Опис!E5/B23</f>
        <v>0.00700691526654797</v>
      </c>
      <c r="C57" s="60" t="n">
        <f aca="false">Опис!E5/G23</f>
        <v>0.00447979180707972</v>
      </c>
      <c r="D57" s="60" t="n">
        <f aca="false">Опис!E5/L23</f>
        <v>0.00337110089739421</v>
      </c>
      <c r="E57" s="1" t="s">
        <v>88</v>
      </c>
    </row>
    <row r="58" customFormat="false" ht="12.8" hidden="false" customHeight="false" outlineLevel="0" collapsed="false">
      <c r="A58" s="0" t="s">
        <v>89</v>
      </c>
      <c r="B58" s="60" t="n">
        <f aca="false">Опис!E5/Средства!G25</f>
        <v>0.000251336134058482</v>
      </c>
      <c r="C58" s="60" t="n">
        <f aca="false">Опис!E5/Средства!H25</f>
        <v>0.000250463860360317</v>
      </c>
      <c r="D58" s="60" t="n">
        <f aca="false">Опис!E5/Средства!I25</f>
        <v>0.000227854558337735</v>
      </c>
    </row>
    <row r="60" customFormat="false" ht="12.8" hidden="false" customHeight="false" outlineLevel="0" collapsed="false">
      <c r="A60" s="61" t="s">
        <v>90</v>
      </c>
      <c r="B60" s="62" t="s">
        <v>90</v>
      </c>
      <c r="C60" s="62"/>
      <c r="D60" s="62"/>
    </row>
    <row r="61" customFormat="false" ht="12.8" hidden="false" customHeight="false" outlineLevel="0" collapsed="false">
      <c r="A61" s="0" t="s">
        <v>91</v>
      </c>
      <c r="B61" s="59" t="n">
        <f aca="false">Средства!G19/Средства!G25</f>
        <v>0.357924894249105</v>
      </c>
      <c r="C61" s="59" t="n">
        <f aca="false">Средства!H19/Средства!H25</f>
        <v>0.291327925250104</v>
      </c>
      <c r="D61" s="59" t="n">
        <f aca="false">Средства!I19/Средства!I25</f>
        <v>0.316312160269259</v>
      </c>
    </row>
    <row r="62" customFormat="false" ht="12.8" hidden="false" customHeight="false" outlineLevel="0" collapsed="false">
      <c r="A62" s="0" t="s">
        <v>92</v>
      </c>
      <c r="B62" s="59" t="n">
        <f aca="false">Средства!G19/Средства!B25</f>
        <v>0.263582246532882</v>
      </c>
      <c r="C62" s="59" t="n">
        <f aca="false">Средства!H19/Средства!C25</f>
        <v>0.217308354403142</v>
      </c>
      <c r="D62" s="59" t="n">
        <f aca="false">Средства!I19/Средства!D25</f>
        <v>0.240296094788012</v>
      </c>
    </row>
  </sheetData>
  <mergeCells count="7">
    <mergeCell ref="A3:M3"/>
    <mergeCell ref="A12:M12"/>
    <mergeCell ref="A16:M16"/>
    <mergeCell ref="A20:M20"/>
    <mergeCell ref="A42:M42"/>
    <mergeCell ref="B53:D53"/>
    <mergeCell ref="B60:D60"/>
  </mergeCells>
  <hyperlinks>
    <hyperlink ref="A1" location="Опис" display="Назад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8.48"/>
    <col collapsed="false" customWidth="true" hidden="false" outlineLevel="0" max="2" min="2" style="24" width="11.54"/>
    <col collapsed="false" customWidth="true" hidden="false" outlineLevel="0" max="3" min="3" style="46" width="11.54"/>
    <col collapsed="false" customWidth="true" hidden="false" outlineLevel="0" max="4" min="4" style="24" width="11.54"/>
    <col collapsed="false" customWidth="true" hidden="false" outlineLevel="0" max="5" min="5" style="24" width="11.52"/>
    <col collapsed="false" customWidth="true" hidden="false" outlineLevel="0" max="6" min="6" style="0" width="29.08"/>
    <col collapsed="false" customWidth="true" hidden="false" outlineLevel="0" max="9" min="7" style="16" width="11.54"/>
  </cols>
  <sheetData>
    <row r="1" customFormat="false" ht="12.8" hidden="false" customHeight="false" outlineLevel="0" collapsed="false">
      <c r="A1" s="2" t="s">
        <v>24</v>
      </c>
      <c r="B1" s="63"/>
      <c r="D1" s="63"/>
      <c r="E1" s="63"/>
      <c r="G1" s="0"/>
      <c r="H1" s="0"/>
      <c r="I1" s="0"/>
    </row>
    <row r="2" customFormat="false" ht="12.8" hidden="false" customHeight="false" outlineLevel="0" collapsed="false">
      <c r="A2" s="0" t="s">
        <v>93</v>
      </c>
      <c r="B2" s="63"/>
      <c r="D2" s="63"/>
      <c r="E2" s="63"/>
      <c r="G2" s="0"/>
      <c r="H2" s="0"/>
      <c r="I2" s="0"/>
    </row>
    <row r="3" customFormat="false" ht="12.8" hidden="false" customHeight="false" outlineLevel="0" collapsed="false">
      <c r="B3" s="64" t="n">
        <v>2019</v>
      </c>
      <c r="C3" s="65" t="n">
        <v>2020</v>
      </c>
      <c r="D3" s="64" t="n">
        <v>2021</v>
      </c>
      <c r="E3" s="66"/>
      <c r="G3" s="64" t="n">
        <v>2019</v>
      </c>
      <c r="H3" s="65" t="n">
        <v>2020</v>
      </c>
      <c r="I3" s="64" t="n">
        <v>2021</v>
      </c>
    </row>
    <row r="4" customFormat="false" ht="12.8" hidden="false" customHeight="false" outlineLevel="0" collapsed="false">
      <c r="A4" s="67" t="s">
        <v>94</v>
      </c>
      <c r="B4" s="67"/>
      <c r="C4" s="67"/>
      <c r="D4" s="67"/>
      <c r="E4" s="68"/>
      <c r="F4" s="69" t="s">
        <v>95</v>
      </c>
      <c r="G4" s="69"/>
      <c r="H4" s="69"/>
      <c r="I4" s="69"/>
    </row>
    <row r="5" customFormat="false" ht="12.8" hidden="false" customHeight="false" outlineLevel="0" collapsed="false">
      <c r="A5" s="0" t="s">
        <v>96</v>
      </c>
      <c r="B5" s="70" t="n">
        <v>110729</v>
      </c>
      <c r="C5" s="71" t="n">
        <v>77919</v>
      </c>
      <c r="D5" s="71" t="n">
        <v>84481</v>
      </c>
      <c r="E5" s="72"/>
      <c r="F5" s="0" t="s">
        <v>97</v>
      </c>
      <c r="G5" s="73" t="n">
        <v>1868257</v>
      </c>
      <c r="H5" s="73" t="n">
        <v>1335308</v>
      </c>
      <c r="I5" s="73" t="n">
        <v>1549330</v>
      </c>
    </row>
    <row r="6" customFormat="false" ht="12.8" hidden="false" customHeight="false" outlineLevel="0" collapsed="false">
      <c r="A6" s="0" t="s">
        <v>98</v>
      </c>
      <c r="B6" s="70"/>
      <c r="C6" s="71"/>
      <c r="D6" s="71"/>
      <c r="E6" s="68"/>
      <c r="F6" s="0" t="s">
        <v>99</v>
      </c>
      <c r="G6" s="73" t="n">
        <v>41363</v>
      </c>
      <c r="H6" s="73" t="n">
        <v>26622</v>
      </c>
      <c r="I6" s="73" t="n">
        <v>46064</v>
      </c>
    </row>
    <row r="7" customFormat="false" ht="12.8" hidden="false" customHeight="false" outlineLevel="0" collapsed="false">
      <c r="A7" s="28" t="s">
        <v>100</v>
      </c>
      <c r="B7" s="24" t="n">
        <v>1506430</v>
      </c>
      <c r="C7" s="46" t="n">
        <v>1772276</v>
      </c>
      <c r="D7" s="24" t="n">
        <v>2490285</v>
      </c>
      <c r="E7" s="68"/>
      <c r="F7" s="74" t="s">
        <v>101</v>
      </c>
      <c r="G7" s="73" t="n">
        <v>0</v>
      </c>
      <c r="H7" s="73" t="n">
        <v>0</v>
      </c>
      <c r="I7" s="73" t="n">
        <v>60000</v>
      </c>
    </row>
    <row r="8" customFormat="false" ht="12.8" hidden="false" customHeight="false" outlineLevel="0" collapsed="false">
      <c r="A8" s="0" t="s">
        <v>102</v>
      </c>
      <c r="B8" s="24" t="n">
        <v>201790</v>
      </c>
      <c r="C8" s="46" t="n">
        <v>54503</v>
      </c>
      <c r="D8" s="24" t="n">
        <v>12479</v>
      </c>
      <c r="E8" s="68"/>
      <c r="F8" s="0" t="s">
        <v>103</v>
      </c>
      <c r="G8" s="73" t="n">
        <v>0</v>
      </c>
      <c r="H8" s="73" t="n">
        <v>0</v>
      </c>
      <c r="I8" s="73" t="n">
        <v>0</v>
      </c>
      <c r="J8" s="10"/>
    </row>
    <row r="9" customFormat="false" ht="12.8" hidden="false" customHeight="false" outlineLevel="0" collapsed="false">
      <c r="A9" s="0" t="s">
        <v>104</v>
      </c>
      <c r="B9" s="24" t="n">
        <v>244790</v>
      </c>
      <c r="C9" s="46" t="n">
        <v>136985</v>
      </c>
      <c r="D9" s="24" t="n">
        <v>36029</v>
      </c>
      <c r="E9" s="68"/>
      <c r="F9" s="0" t="s">
        <v>105</v>
      </c>
      <c r="G9" s="73" t="n">
        <v>0</v>
      </c>
      <c r="H9" s="73" t="n">
        <v>189061</v>
      </c>
      <c r="I9" s="73" t="n">
        <v>191704</v>
      </c>
    </row>
    <row r="10" customFormat="false" ht="12.8" hidden="false" customHeight="false" outlineLevel="0" collapsed="false">
      <c r="A10" s="0" t="s">
        <v>106</v>
      </c>
      <c r="B10" s="24" t="n">
        <v>1463330</v>
      </c>
      <c r="C10" s="46" t="n">
        <v>1503947</v>
      </c>
      <c r="D10" s="24" t="n">
        <v>1485764</v>
      </c>
      <c r="E10" s="68"/>
      <c r="F10" s="0" t="s">
        <v>107</v>
      </c>
      <c r="G10" s="73" t="n">
        <v>57842</v>
      </c>
      <c r="H10" s="73" t="n">
        <v>64796</v>
      </c>
      <c r="I10" s="73" t="n">
        <v>0</v>
      </c>
    </row>
    <row r="11" customFormat="false" ht="12.8" hidden="false" customHeight="false" outlineLevel="0" collapsed="false">
      <c r="A11" s="0" t="s">
        <v>108</v>
      </c>
      <c r="B11" s="24" t="n">
        <v>203799</v>
      </c>
      <c r="C11" s="46" t="n">
        <v>12842</v>
      </c>
      <c r="D11" s="24" t="n">
        <v>9463</v>
      </c>
      <c r="E11" s="68"/>
      <c r="F11" s="0" t="s">
        <v>95</v>
      </c>
      <c r="G11" s="75" t="n">
        <f aca="false">SUM(G5:G10)</f>
        <v>1967462</v>
      </c>
      <c r="H11" s="75" t="n">
        <f aca="false">SUM(H5:H10)</f>
        <v>1615787</v>
      </c>
      <c r="I11" s="75" t="n">
        <f aca="false">SUM(I5:I10)</f>
        <v>1847098</v>
      </c>
    </row>
    <row r="12" customFormat="false" ht="12.8" hidden="false" customHeight="false" outlineLevel="0" collapsed="false">
      <c r="A12" s="0" t="s">
        <v>94</v>
      </c>
      <c r="B12" s="26" t="n">
        <f aca="false">SUM(B5:B11)</f>
        <v>3730868</v>
      </c>
      <c r="C12" s="26" t="n">
        <f aca="false">SUM(C5:C11)</f>
        <v>3558472</v>
      </c>
      <c r="D12" s="26" t="n">
        <f aca="false">SUM(D5:D11)</f>
        <v>4118501</v>
      </c>
      <c r="E12" s="68"/>
      <c r="F12" s="76" t="s">
        <v>109</v>
      </c>
      <c r="G12" s="76"/>
      <c r="H12" s="76"/>
      <c r="I12" s="76"/>
    </row>
    <row r="13" customFormat="false" ht="12.8" hidden="false" customHeight="false" outlineLevel="0" collapsed="false">
      <c r="A13" s="77" t="s">
        <v>110</v>
      </c>
      <c r="B13" s="77"/>
      <c r="C13" s="77"/>
      <c r="D13" s="77"/>
      <c r="E13" s="78"/>
      <c r="F13" s="0" t="s">
        <v>111</v>
      </c>
      <c r="G13" s="73" t="n">
        <v>31</v>
      </c>
      <c r="H13" s="73" t="n">
        <v>31</v>
      </c>
      <c r="I13" s="73" t="n">
        <v>81375</v>
      </c>
    </row>
    <row r="14" customFormat="false" ht="12.8" hidden="false" customHeight="false" outlineLevel="0" collapsed="false">
      <c r="A14" s="0" t="s">
        <v>112</v>
      </c>
      <c r="B14" s="24" t="n">
        <v>20308</v>
      </c>
      <c r="C14" s="46" t="n">
        <v>21548</v>
      </c>
      <c r="D14" s="24" t="n">
        <v>20575</v>
      </c>
      <c r="E14" s="68"/>
      <c r="F14" s="0" t="s">
        <v>113</v>
      </c>
      <c r="G14" s="73" t="n">
        <v>0</v>
      </c>
      <c r="H14" s="73" t="n">
        <v>0</v>
      </c>
      <c r="I14" s="73" t="n">
        <v>0</v>
      </c>
    </row>
    <row r="15" customFormat="false" ht="12.8" hidden="false" customHeight="false" outlineLevel="0" collapsed="false">
      <c r="A15" s="0" t="s">
        <v>114</v>
      </c>
      <c r="B15" s="24" t="n">
        <v>1134923</v>
      </c>
      <c r="C15" s="46" t="n">
        <v>1087513</v>
      </c>
      <c r="D15" s="24" t="n">
        <v>1016833</v>
      </c>
      <c r="E15" s="68"/>
      <c r="F15" s="0" t="s">
        <v>115</v>
      </c>
      <c r="G15" s="73" t="n">
        <v>10808</v>
      </c>
      <c r="H15" s="73" t="n">
        <v>0</v>
      </c>
      <c r="I15" s="73" t="n">
        <v>0</v>
      </c>
    </row>
    <row r="16" customFormat="false" ht="12.8" hidden="false" customHeight="false" outlineLevel="0" collapsed="false">
      <c r="A16" s="28" t="s">
        <v>116</v>
      </c>
      <c r="B16" s="24" t="n">
        <v>1359120</v>
      </c>
      <c r="C16" s="46" t="n">
        <v>1214892</v>
      </c>
      <c r="D16" s="24" t="n">
        <v>1136833</v>
      </c>
      <c r="E16" s="68"/>
      <c r="F16" s="0" t="s">
        <v>117</v>
      </c>
      <c r="G16" s="73" t="n">
        <v>0</v>
      </c>
      <c r="H16" s="73" t="n">
        <v>0</v>
      </c>
      <c r="I16" s="73" t="n">
        <v>0</v>
      </c>
    </row>
    <row r="17" customFormat="false" ht="12.8" hidden="false" customHeight="false" outlineLevel="0" collapsed="false">
      <c r="A17" s="0" t="s">
        <v>118</v>
      </c>
      <c r="B17" s="24" t="n">
        <v>0</v>
      </c>
      <c r="C17" s="46" t="n">
        <v>0</v>
      </c>
      <c r="D17" s="24" t="n">
        <v>0</v>
      </c>
      <c r="E17" s="68"/>
      <c r="F17" s="0" t="s">
        <v>119</v>
      </c>
      <c r="G17" s="75" t="n">
        <f aca="false">SUM(G13:G16)</f>
        <v>10839</v>
      </c>
      <c r="H17" s="75" t="n">
        <f aca="false">SUM(H13:H16)</f>
        <v>31</v>
      </c>
      <c r="I17" s="75" t="n">
        <f aca="false">SUM(I13:I16)</f>
        <v>81375</v>
      </c>
    </row>
    <row r="18" customFormat="false" ht="12.8" hidden="false" customHeight="false" outlineLevel="0" collapsed="false">
      <c r="A18" s="0" t="s">
        <v>120</v>
      </c>
      <c r="B18" s="24" t="n">
        <v>0</v>
      </c>
      <c r="C18" s="46" t="n">
        <v>273393</v>
      </c>
      <c r="E18" s="68"/>
      <c r="G18" s="0"/>
      <c r="H18" s="0"/>
      <c r="I18" s="0"/>
    </row>
    <row r="19" customFormat="false" ht="12.8" hidden="false" customHeight="false" outlineLevel="0" collapsed="false">
      <c r="A19" s="28" t="s">
        <v>121</v>
      </c>
      <c r="B19" s="24" t="n">
        <v>216908</v>
      </c>
      <c r="C19" s="46" t="n">
        <v>162450</v>
      </c>
      <c r="D19" s="24" t="n">
        <v>172934</v>
      </c>
      <c r="E19" s="68"/>
      <c r="F19" s="0" t="s">
        <v>122</v>
      </c>
      <c r="G19" s="73" t="n">
        <f aca="false">+G11+G17</f>
        <v>1978301</v>
      </c>
      <c r="H19" s="73" t="n">
        <f aca="false">+H11+H17</f>
        <v>1615818</v>
      </c>
      <c r="I19" s="73" t="n">
        <f aca="false">+I11+I17</f>
        <v>1928473</v>
      </c>
    </row>
    <row r="20" customFormat="false" ht="12.8" hidden="false" customHeight="false" outlineLevel="0" collapsed="false">
      <c r="A20" s="0" t="s">
        <v>123</v>
      </c>
      <c r="B20" s="24" t="n">
        <v>273394</v>
      </c>
      <c r="C20" s="24" t="n">
        <v>273394</v>
      </c>
      <c r="D20" s="24" t="n">
        <v>226765</v>
      </c>
      <c r="E20" s="68"/>
      <c r="G20" s="0"/>
      <c r="H20" s="0"/>
      <c r="I20" s="0"/>
    </row>
    <row r="21" customFormat="false" ht="12.8" hidden="false" customHeight="false" outlineLevel="0" collapsed="false">
      <c r="A21" s="0" t="s">
        <v>124</v>
      </c>
      <c r="B21" s="24" t="n">
        <v>755878</v>
      </c>
      <c r="C21" s="46" t="n">
        <v>829896</v>
      </c>
      <c r="D21" s="24" t="n">
        <v>1318920</v>
      </c>
      <c r="E21" s="68"/>
      <c r="F21" s="79" t="s">
        <v>125</v>
      </c>
      <c r="G21" s="79"/>
      <c r="H21" s="79"/>
      <c r="I21" s="79"/>
    </row>
    <row r="22" customFormat="false" ht="12.8" hidden="false" customHeight="false" outlineLevel="0" collapsed="false">
      <c r="A22" s="0" t="s">
        <v>126</v>
      </c>
      <c r="B22" s="24" t="n">
        <v>14042</v>
      </c>
      <c r="C22" s="24" t="n">
        <v>14042</v>
      </c>
      <c r="D22" s="24" t="n">
        <v>14042</v>
      </c>
      <c r="E22" s="68"/>
      <c r="F22" s="0" t="s">
        <v>127</v>
      </c>
      <c r="G22" s="73" t="n">
        <v>932366</v>
      </c>
      <c r="H22" s="73" t="n">
        <v>932366</v>
      </c>
      <c r="I22" s="73" t="n">
        <v>932366</v>
      </c>
    </row>
    <row r="23" customFormat="false" ht="12.8" hidden="false" customHeight="false" outlineLevel="0" collapsed="false">
      <c r="A23" s="0" t="s">
        <v>128</v>
      </c>
      <c r="B23" s="26" t="n">
        <f aca="false">SUM(B14:B22)</f>
        <v>3774573</v>
      </c>
      <c r="C23" s="26" t="n">
        <f aca="false">SUM(C14:C22)</f>
        <v>3877128</v>
      </c>
      <c r="D23" s="26" t="n">
        <f aca="false">SUM(D14:D22)</f>
        <v>3906902</v>
      </c>
      <c r="E23" s="68"/>
      <c r="F23" s="0" t="s">
        <v>129</v>
      </c>
      <c r="G23" s="73" t="n">
        <v>1504504</v>
      </c>
      <c r="H23" s="73" t="n">
        <v>1744317</v>
      </c>
      <c r="I23" s="73" t="n">
        <v>2270258</v>
      </c>
    </row>
    <row r="24" customFormat="false" ht="12.8" hidden="false" customHeight="false" outlineLevel="0" collapsed="false">
      <c r="B24" s="63"/>
      <c r="C24" s="80" t="n">
        <f aca="false">C23-3603734</f>
        <v>273394</v>
      </c>
      <c r="D24" s="81"/>
      <c r="E24" s="68"/>
      <c r="F24" s="0" t="s">
        <v>130</v>
      </c>
      <c r="G24" s="73" t="n">
        <v>3090270</v>
      </c>
      <c r="H24" s="73" t="n">
        <v>2869706</v>
      </c>
      <c r="I24" s="73" t="n">
        <v>2894116</v>
      </c>
    </row>
    <row r="25" customFormat="false" ht="12.8" hidden="false" customHeight="false" outlineLevel="0" collapsed="false">
      <c r="A25" s="0" t="s">
        <v>131</v>
      </c>
      <c r="B25" s="24" t="n">
        <f aca="false">B23+B12</f>
        <v>7505441</v>
      </c>
      <c r="C25" s="24" t="n">
        <f aca="false">C23+C12</f>
        <v>7435600</v>
      </c>
      <c r="D25" s="24" t="n">
        <f aca="false">D23+D12</f>
        <v>8025403</v>
      </c>
      <c r="E25" s="68"/>
      <c r="F25" s="0" t="s">
        <v>132</v>
      </c>
      <c r="G25" s="75" t="n">
        <f aca="false">SUM(G22:G24)</f>
        <v>5527140</v>
      </c>
      <c r="H25" s="75" t="n">
        <f aca="false">SUM(H22:H24)</f>
        <v>5546389</v>
      </c>
      <c r="I25" s="75" t="n">
        <f aca="false">SUM(I22:I24)</f>
        <v>6096740</v>
      </c>
    </row>
    <row r="26" customFormat="false" ht="12.8" hidden="false" customHeight="false" outlineLevel="0" collapsed="false">
      <c r="B26" s="63"/>
      <c r="D26" s="63"/>
      <c r="E26" s="68"/>
      <c r="G26" s="82"/>
      <c r="H26" s="82"/>
      <c r="I26" s="82"/>
    </row>
    <row r="27" customFormat="false" ht="12.8" hidden="false" customHeight="false" outlineLevel="0" collapsed="false">
      <c r="A27" s="0" t="s">
        <v>133</v>
      </c>
      <c r="B27" s="24" t="n">
        <f aca="false">+B5+B6+(B7*0.9)</f>
        <v>1466516</v>
      </c>
      <c r="C27" s="24" t="n">
        <f aca="false">+D5+C6+(C7*0.9)</f>
        <v>1679529.4</v>
      </c>
      <c r="D27" s="24" t="n">
        <f aca="false">+D5+D6+(D7*0.8)</f>
        <v>2076709</v>
      </c>
      <c r="E27" s="68"/>
      <c r="G27" s="82"/>
      <c r="H27" s="82"/>
      <c r="I27" s="82"/>
    </row>
    <row r="28" customFormat="false" ht="12.8" hidden="false" customHeight="false" outlineLevel="0" collapsed="false">
      <c r="B28" s="63"/>
      <c r="D28" s="63"/>
      <c r="E28" s="63"/>
      <c r="F28" s="0" t="s">
        <v>134</v>
      </c>
      <c r="G28" s="73" t="n">
        <f aca="false">G25+G19</f>
        <v>7505441</v>
      </c>
      <c r="H28" s="73" t="n">
        <f aca="false">H25+H19</f>
        <v>7162207</v>
      </c>
      <c r="I28" s="73" t="n">
        <f aca="false">I25+I19</f>
        <v>8025213</v>
      </c>
    </row>
    <row r="29" customFormat="false" ht="12.8" hidden="false" customHeight="false" outlineLevel="0" collapsed="false">
      <c r="B29" s="63"/>
      <c r="D29" s="63"/>
      <c r="E29" s="63"/>
    </row>
    <row r="30" customFormat="false" ht="12.8" hidden="false" customHeight="false" outlineLevel="0" collapsed="false">
      <c r="B30" s="63"/>
      <c r="D30" s="63"/>
      <c r="E30" s="63"/>
    </row>
    <row r="31" customFormat="false" ht="12.8" hidden="false" customHeight="false" outlineLevel="0" collapsed="false">
      <c r="B31" s="63"/>
      <c r="D31" s="63"/>
      <c r="E31" s="63"/>
    </row>
    <row r="32" customFormat="false" ht="12.8" hidden="false" customHeight="false" outlineLevel="0" collapsed="false">
      <c r="B32" s="63"/>
      <c r="D32" s="63"/>
      <c r="E32" s="63"/>
    </row>
    <row r="33" customFormat="false" ht="12.8" hidden="false" customHeight="false" outlineLevel="0" collapsed="false">
      <c r="B33" s="63"/>
      <c r="D33" s="63"/>
      <c r="E33" s="63"/>
    </row>
    <row r="34" customFormat="false" ht="12.8" hidden="false" customHeight="false" outlineLevel="0" collapsed="false">
      <c r="B34" s="63"/>
      <c r="D34" s="63"/>
      <c r="E34" s="63"/>
    </row>
    <row r="35" customFormat="false" ht="12.8" hidden="false" customHeight="false" outlineLevel="0" collapsed="false">
      <c r="B35" s="63"/>
      <c r="D35" s="63"/>
      <c r="E35" s="63"/>
    </row>
    <row r="36" customFormat="false" ht="12.8" hidden="false" customHeight="false" outlineLevel="0" collapsed="false">
      <c r="B36" s="63"/>
      <c r="D36" s="63"/>
      <c r="E36" s="63"/>
    </row>
    <row r="37" customFormat="false" ht="12.8" hidden="false" customHeight="false" outlineLevel="0" collapsed="false">
      <c r="B37" s="63"/>
      <c r="D37" s="63"/>
      <c r="E37" s="63"/>
    </row>
    <row r="38" customFormat="false" ht="12.8" hidden="false" customHeight="false" outlineLevel="0" collapsed="false">
      <c r="B38" s="63"/>
      <c r="D38" s="63"/>
      <c r="E38" s="63"/>
    </row>
    <row r="39" customFormat="false" ht="12.8" hidden="false" customHeight="false" outlineLevel="0" collapsed="false">
      <c r="B39" s="63"/>
      <c r="D39" s="63"/>
      <c r="E39" s="63"/>
    </row>
    <row r="40" customFormat="false" ht="12.8" hidden="false" customHeight="false" outlineLevel="0" collapsed="false">
      <c r="B40" s="63"/>
      <c r="D40" s="63"/>
      <c r="E40" s="63"/>
    </row>
    <row r="41" customFormat="false" ht="12.8" hidden="false" customHeight="false" outlineLevel="0" collapsed="false">
      <c r="B41" s="63"/>
      <c r="D41" s="63"/>
      <c r="E41" s="63"/>
    </row>
    <row r="42" customFormat="false" ht="12.8" hidden="false" customHeight="false" outlineLevel="0" collapsed="false">
      <c r="B42" s="63"/>
      <c r="D42" s="63"/>
      <c r="E42" s="63"/>
    </row>
    <row r="43" customFormat="false" ht="12.8" hidden="false" customHeight="false" outlineLevel="0" collapsed="false">
      <c r="B43" s="63"/>
      <c r="D43" s="63"/>
      <c r="E43" s="63"/>
    </row>
    <row r="44" customFormat="false" ht="12.8" hidden="false" customHeight="false" outlineLevel="0" collapsed="false">
      <c r="B44" s="63"/>
      <c r="D44" s="63"/>
      <c r="E44" s="63"/>
    </row>
    <row r="45" customFormat="false" ht="12.8" hidden="false" customHeight="false" outlineLevel="0" collapsed="false">
      <c r="B45" s="63"/>
      <c r="D45" s="63"/>
      <c r="E45" s="63"/>
    </row>
    <row r="46" customFormat="false" ht="12.8" hidden="false" customHeight="false" outlineLevel="0" collapsed="false">
      <c r="B46" s="63"/>
      <c r="D46" s="63"/>
      <c r="E46" s="63"/>
    </row>
    <row r="47" customFormat="false" ht="12.8" hidden="false" customHeight="false" outlineLevel="0" collapsed="false">
      <c r="B47" s="63"/>
      <c r="D47" s="63"/>
      <c r="E47" s="63"/>
    </row>
    <row r="48" customFormat="false" ht="12.8" hidden="false" customHeight="false" outlineLevel="0" collapsed="false">
      <c r="B48" s="63"/>
      <c r="D48" s="63"/>
      <c r="E48" s="63"/>
    </row>
    <row r="49" customFormat="false" ht="12.8" hidden="false" customHeight="false" outlineLevel="0" collapsed="false">
      <c r="B49" s="63"/>
      <c r="D49" s="63"/>
      <c r="E49" s="63"/>
    </row>
    <row r="50" customFormat="false" ht="12.8" hidden="false" customHeight="false" outlineLevel="0" collapsed="false">
      <c r="B50" s="63"/>
      <c r="D50" s="63"/>
      <c r="E50" s="63"/>
    </row>
    <row r="51" customFormat="false" ht="12.8" hidden="false" customHeight="false" outlineLevel="0" collapsed="false">
      <c r="B51" s="63"/>
      <c r="D51" s="63"/>
      <c r="E51" s="63"/>
    </row>
    <row r="52" customFormat="false" ht="12.8" hidden="false" customHeight="false" outlineLevel="0" collapsed="false">
      <c r="B52" s="63"/>
      <c r="D52" s="63"/>
      <c r="E52" s="63"/>
    </row>
  </sheetData>
  <mergeCells count="8">
    <mergeCell ref="A4:D4"/>
    <mergeCell ref="F4:I4"/>
    <mergeCell ref="B5:B6"/>
    <mergeCell ref="C5:C6"/>
    <mergeCell ref="D5:D6"/>
    <mergeCell ref="F12:I12"/>
    <mergeCell ref="A13:D13"/>
    <mergeCell ref="F21:I21"/>
  </mergeCells>
  <hyperlinks>
    <hyperlink ref="A1" location="Опис" display="Назад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8"/>
  <sheetViews>
    <sheetView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J45" activeCellId="0" sqref="J45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5.14"/>
    <col collapsed="false" customWidth="true" hidden="false" outlineLevel="0" max="4" min="2" style="46" width="11.54"/>
    <col collapsed="false" customWidth="true" hidden="false" outlineLevel="0" max="5" min="5" style="44" width="9.63"/>
    <col collapsed="false" customWidth="true" hidden="false" outlineLevel="0" max="6" min="6" style="46" width="11.52"/>
    <col collapsed="false" customWidth="true" hidden="false" outlineLevel="0" max="7" min="7" style="49" width="10.19"/>
    <col collapsed="false" customWidth="true" hidden="false" outlineLevel="0" max="8" min="8" style="0" width="9.17"/>
    <col collapsed="false" customWidth="true" hidden="false" outlineLevel="0" max="9" min="9" style="0" width="20.01"/>
    <col collapsed="false" customWidth="true" hidden="false" outlineLevel="0" max="10" min="10" style="0" width="15.68"/>
    <col collapsed="false" customWidth="true" hidden="false" outlineLevel="0" max="11" min="11" style="0" width="3.74"/>
    <col collapsed="false" customWidth="true" hidden="false" outlineLevel="0" max="14" min="12" style="1" width="11.52"/>
  </cols>
  <sheetData>
    <row r="1" customFormat="false" ht="12.8" hidden="false" customHeight="false" outlineLevel="0" collapsed="false">
      <c r="A1" s="2" t="s">
        <v>24</v>
      </c>
    </row>
    <row r="2" customFormat="false" ht="12.8" hidden="false" customHeight="false" outlineLevel="0" collapsed="false">
      <c r="A2" s="0" t="s">
        <v>135</v>
      </c>
      <c r="B2" s="46" t="s">
        <v>136</v>
      </c>
      <c r="C2" s="83" t="n">
        <v>2021</v>
      </c>
      <c r="D2" s="84" t="n">
        <v>2020</v>
      </c>
      <c r="E2" s="49" t="s">
        <v>137</v>
      </c>
      <c r="F2" s="47" t="n">
        <v>2019</v>
      </c>
      <c r="G2" s="49" t="s">
        <v>137</v>
      </c>
    </row>
    <row r="3" customFormat="false" ht="12.8" hidden="false" customHeight="false" outlineLevel="0" collapsed="false">
      <c r="A3" s="85" t="s">
        <v>35</v>
      </c>
      <c r="B3" s="85"/>
      <c r="C3" s="85"/>
      <c r="D3" s="85"/>
      <c r="E3" s="85"/>
      <c r="F3" s="85"/>
      <c r="G3" s="85"/>
      <c r="I3" s="86" t="s">
        <v>138</v>
      </c>
      <c r="J3" s="86"/>
      <c r="K3" s="86"/>
      <c r="L3" s="18" t="s">
        <v>139</v>
      </c>
      <c r="M3" s="18" t="s">
        <v>140</v>
      </c>
      <c r="N3" s="87" t="s">
        <v>141</v>
      </c>
    </row>
    <row r="4" customFormat="false" ht="12.8" hidden="false" customHeight="false" outlineLevel="0" collapsed="false">
      <c r="A4" s="0" t="s">
        <v>142</v>
      </c>
      <c r="B4" s="46" t="str">
        <f aca="false">IF(C4&gt;0,"+","-")</f>
        <v>+</v>
      </c>
      <c r="C4" s="88" t="n">
        <v>135807</v>
      </c>
      <c r="D4" s="24" t="n">
        <v>56927</v>
      </c>
      <c r="E4" s="44" t="n">
        <f aca="false">(+C4/D4)-1</f>
        <v>1.38563423331635</v>
      </c>
      <c r="F4" s="24" t="n">
        <v>335400</v>
      </c>
      <c r="G4" s="44" t="n">
        <f aca="false">(+D4/F4)-1</f>
        <v>-0.830271317829457</v>
      </c>
      <c r="I4" s="89"/>
      <c r="J4" s="89"/>
      <c r="K4" s="89"/>
      <c r="L4" s="39"/>
      <c r="M4" s="39"/>
      <c r="N4" s="90"/>
    </row>
    <row r="5" customFormat="false" ht="12.8" hidden="false" customHeight="false" outlineLevel="0" collapsed="false">
      <c r="A5" s="91"/>
      <c r="B5" s="92"/>
      <c r="C5" s="92"/>
      <c r="D5" s="92"/>
      <c r="E5" s="93"/>
      <c r="F5" s="92"/>
      <c r="G5" s="93"/>
      <c r="I5" s="89"/>
      <c r="J5" s="89"/>
      <c r="K5" s="89"/>
      <c r="L5" s="39"/>
      <c r="M5" s="39"/>
      <c r="N5" s="90"/>
    </row>
    <row r="6" customFormat="false" ht="12.8" hidden="false" customHeight="false" outlineLevel="0" collapsed="false">
      <c r="A6" s="0" t="s">
        <v>143</v>
      </c>
      <c r="B6" s="46" t="str">
        <f aca="false">IF(C6&gt;0,"+","-")</f>
        <v>+</v>
      </c>
      <c r="C6" s="24" t="n">
        <v>277023</v>
      </c>
      <c r="D6" s="24" t="n">
        <v>292807</v>
      </c>
      <c r="E6" s="44" t="n">
        <f aca="false">(+C6/D6)-1</f>
        <v>-0.0539058150932183</v>
      </c>
      <c r="F6" s="24" t="n">
        <v>296888</v>
      </c>
      <c r="G6" s="44" t="n">
        <f aca="false">(+D6/F6)-1</f>
        <v>-0.0137459243889951</v>
      </c>
      <c r="I6" s="89"/>
      <c r="J6" s="89"/>
      <c r="K6" s="89"/>
      <c r="L6" s="39"/>
      <c r="M6" s="39"/>
      <c r="N6" s="90"/>
    </row>
    <row r="7" customFormat="false" ht="12.8" hidden="false" customHeight="false" outlineLevel="0" collapsed="false">
      <c r="A7" s="0" t="s">
        <v>144</v>
      </c>
      <c r="B7" s="46" t="str">
        <f aca="false">IF(C7&gt;0,"+","-")</f>
        <v>+</v>
      </c>
      <c r="C7" s="24" t="n">
        <v>18183</v>
      </c>
      <c r="D7" s="24" t="n">
        <v>-40617</v>
      </c>
      <c r="E7" s="44" t="n">
        <f aca="false">(+C7/D7)-1</f>
        <v>-1.44766969495531</v>
      </c>
      <c r="F7" s="24" t="n">
        <v>-44943</v>
      </c>
      <c r="G7" s="44" t="n">
        <f aca="false">(+D7/F7)-1</f>
        <v>-0.096255256658434</v>
      </c>
      <c r="I7" s="89"/>
      <c r="J7" s="89"/>
      <c r="K7" s="89"/>
      <c r="L7" s="39"/>
      <c r="M7" s="39"/>
      <c r="N7" s="90"/>
    </row>
    <row r="8" customFormat="false" ht="12.8" hidden="false" customHeight="false" outlineLevel="0" collapsed="false">
      <c r="A8" s="0" t="s">
        <v>145</v>
      </c>
      <c r="B8" s="46" t="str">
        <f aca="false">IF(C8&gt;0,"+","-")</f>
        <v>-</v>
      </c>
      <c r="C8" s="24" t="n">
        <v>-767760</v>
      </c>
      <c r="D8" s="24" t="n">
        <v>-298068</v>
      </c>
      <c r="E8" s="44" t="n">
        <f aca="false">(+C8/D8)-1</f>
        <v>1.57578807520432</v>
      </c>
      <c r="F8" s="24" t="n">
        <v>72131</v>
      </c>
      <c r="G8" s="44" t="n">
        <f aca="false">(+D8/F8)-1</f>
        <v>-5.13231481609849</v>
      </c>
      <c r="I8" s="89"/>
      <c r="J8" s="89"/>
      <c r="K8" s="89"/>
      <c r="L8" s="39"/>
      <c r="M8" s="39"/>
      <c r="N8" s="90"/>
    </row>
    <row r="9" customFormat="false" ht="12.8" hidden="false" customHeight="false" outlineLevel="0" collapsed="false">
      <c r="A9" s="0" t="s">
        <v>146</v>
      </c>
      <c r="B9" s="46" t="str">
        <f aca="false">IF(C9&gt;0,"+","-")</f>
        <v>+</v>
      </c>
      <c r="C9" s="24" t="n">
        <v>11839</v>
      </c>
      <c r="D9" s="24" t="n">
        <v>5883</v>
      </c>
      <c r="E9" s="44" t="n">
        <f aca="false">(+C9/D9)-1</f>
        <v>1.01240863505014</v>
      </c>
      <c r="F9" s="24" t="n">
        <v>272527</v>
      </c>
      <c r="G9" s="44" t="n">
        <f aca="false">(+D9/F9)-1</f>
        <v>-0.978413148055055</v>
      </c>
    </row>
    <row r="10" customFormat="false" ht="12.8" hidden="false" customHeight="false" outlineLevel="0" collapsed="false">
      <c r="A10" s="94" t="s">
        <v>147</v>
      </c>
      <c r="B10" s="46" t="str">
        <f aca="false">IF(C10&gt;0,"+","-")</f>
        <v>+</v>
      </c>
      <c r="C10" s="24" t="n">
        <v>37913</v>
      </c>
      <c r="D10" s="24" t="n">
        <v>15533</v>
      </c>
      <c r="E10" s="44" t="n">
        <f aca="false">(+C10/D10)-1</f>
        <v>1.44080345071783</v>
      </c>
      <c r="F10" s="24" t="n">
        <v>-26357</v>
      </c>
      <c r="G10" s="44" t="n">
        <f aca="false">(+D10/F10)-1</f>
        <v>-1.58933110748568</v>
      </c>
    </row>
    <row r="11" customFormat="false" ht="12.8" hidden="false" customHeight="false" outlineLevel="0" collapsed="false">
      <c r="A11" s="0" t="s">
        <v>148</v>
      </c>
      <c r="B11" s="46" t="str">
        <f aca="false">IF(C11&gt;0,"+","-")</f>
        <v>+</v>
      </c>
      <c r="C11" s="24" t="n">
        <v>42086</v>
      </c>
      <c r="D11" s="24" t="n">
        <v>153445</v>
      </c>
      <c r="E11" s="44" t="n">
        <f aca="false">(+C11/D11)-1</f>
        <v>-0.725725830101991</v>
      </c>
      <c r="F11" s="24" t="n">
        <v>0</v>
      </c>
      <c r="G11" s="44" t="e">
        <f aca="false">(+D11/F11)-1</f>
        <v>#DIV/0!</v>
      </c>
      <c r="I11" s="0" t="s">
        <v>149</v>
      </c>
    </row>
    <row r="12" customFormat="false" ht="12.8" hidden="false" customHeight="false" outlineLevel="0" collapsed="false">
      <c r="A12" s="0" t="s">
        <v>108</v>
      </c>
      <c r="B12" s="46" t="str">
        <f aca="false">IF(C12&gt;0,"+","-")</f>
        <v>+</v>
      </c>
      <c r="C12" s="24" t="n">
        <v>3348</v>
      </c>
      <c r="D12" s="24" t="n">
        <v>190957</v>
      </c>
      <c r="E12" s="44" t="n">
        <f aca="false">(+C12/D12)-1</f>
        <v>-0.982467257026451</v>
      </c>
      <c r="F12" s="24" t="n">
        <v>125848</v>
      </c>
      <c r="G12" s="44" t="n">
        <f aca="false">(+D12/F12)-1</f>
        <v>0.517362214735236</v>
      </c>
      <c r="I12" s="0" t="s">
        <v>92</v>
      </c>
    </row>
    <row r="13" customFormat="false" ht="12.8" hidden="false" customHeight="false" outlineLevel="0" collapsed="false">
      <c r="A13" s="95"/>
      <c r="B13" s="96"/>
      <c r="C13" s="96"/>
      <c r="D13" s="96"/>
      <c r="E13" s="97"/>
      <c r="F13" s="96"/>
      <c r="G13" s="98"/>
      <c r="I13" s="0" t="s">
        <v>150</v>
      </c>
    </row>
    <row r="14" customFormat="false" ht="12.8" hidden="false" customHeight="false" outlineLevel="0" collapsed="false">
      <c r="A14" s="0" t="s">
        <v>151</v>
      </c>
      <c r="B14" s="46" t="str">
        <f aca="false">IF(C14&gt;0,"+","-")</f>
        <v>+</v>
      </c>
      <c r="C14" s="24" t="n">
        <v>395948</v>
      </c>
      <c r="D14" s="24" t="n">
        <v>-209733</v>
      </c>
      <c r="E14" s="44" t="n">
        <f aca="false">(+C14/D14)-1</f>
        <v>-2.88786695465187</v>
      </c>
      <c r="F14" s="24" t="n">
        <v>-146007</v>
      </c>
      <c r="G14" s="44" t="n">
        <f aca="false">(+D14/F14)-1</f>
        <v>0.436458525961084</v>
      </c>
    </row>
    <row r="15" customFormat="false" ht="12.8" hidden="false" customHeight="false" outlineLevel="0" collapsed="false">
      <c r="A15" s="0" t="s">
        <v>152</v>
      </c>
      <c r="B15" s="46" t="str">
        <f aca="false">IF(C15&gt;0,"+","-")</f>
        <v>-</v>
      </c>
      <c r="C15" s="24" t="n">
        <v>-182286</v>
      </c>
      <c r="D15" s="24" t="n">
        <v>-318740</v>
      </c>
      <c r="E15" s="44" t="n">
        <f aca="false">(+C15/D15)-1</f>
        <v>-0.42810441111878</v>
      </c>
      <c r="F15" s="24" t="n">
        <v>-273480</v>
      </c>
      <c r="G15" s="44" t="n">
        <f aca="false">(+D15/F15)-1</f>
        <v>0.16549656281995</v>
      </c>
      <c r="I15" s="0" t="s">
        <v>153</v>
      </c>
    </row>
    <row r="16" customFormat="false" ht="12.8" hidden="false" customHeight="false" outlineLevel="0" collapsed="false">
      <c r="A16" s="0" t="s">
        <v>154</v>
      </c>
      <c r="B16" s="46" t="str">
        <f aca="false">IF(C16&gt;0,"+","-")</f>
        <v>+</v>
      </c>
      <c r="C16" s="24" t="n">
        <v>19761</v>
      </c>
      <c r="D16" s="24" t="n">
        <v>166855</v>
      </c>
      <c r="E16" s="44" t="n">
        <f aca="false">(+C16/D16)-1</f>
        <v>-0.88156782835396</v>
      </c>
      <c r="F16" s="24" t="n">
        <v>-38810</v>
      </c>
      <c r="G16" s="44" t="n">
        <f aca="false">(+D16/F16)-1</f>
        <v>-5.29927853645968</v>
      </c>
    </row>
    <row r="17" customFormat="false" ht="12.8" hidden="false" customHeight="false" outlineLevel="0" collapsed="false">
      <c r="A17" s="0" t="s">
        <v>107</v>
      </c>
      <c r="B17" s="46" t="str">
        <f aca="false">IF(C17&gt;0,"+","-")</f>
        <v>-</v>
      </c>
      <c r="C17" s="24" t="n">
        <v>-64796</v>
      </c>
      <c r="D17" s="24" t="n">
        <v>6954</v>
      </c>
      <c r="E17" s="44" t="n">
        <f aca="false">(+C17/D17)-1</f>
        <v>-10.31780270348</v>
      </c>
      <c r="F17" s="24" t="n">
        <v>28548</v>
      </c>
      <c r="G17" s="44" t="n">
        <f aca="false">(+D17/F17)-1</f>
        <v>-0.756410256410256</v>
      </c>
      <c r="L17" s="0"/>
      <c r="M17" s="0"/>
      <c r="N17" s="0"/>
    </row>
    <row r="18" customFormat="false" ht="12.8" hidden="false" customHeight="false" outlineLevel="0" collapsed="false">
      <c r="A18" s="0" t="s">
        <v>155</v>
      </c>
      <c r="B18" s="46" t="str">
        <f aca="false">IF(C18&gt;0,"+","-")</f>
        <v>-</v>
      </c>
      <c r="C18" s="24" t="n">
        <v>-2535</v>
      </c>
      <c r="D18" s="24" t="n">
        <v>-1374</v>
      </c>
      <c r="E18" s="44" t="n">
        <f aca="false">(+C18/D18)-1</f>
        <v>0.844978165938865</v>
      </c>
      <c r="F18" s="24" t="n">
        <v>-2695</v>
      </c>
      <c r="G18" s="44" t="n">
        <f aca="false">(+D18/F18)-1</f>
        <v>-0.490166975881262</v>
      </c>
      <c r="L18" s="0"/>
      <c r="M18" s="0"/>
      <c r="N18" s="0"/>
    </row>
    <row r="19" customFormat="false" ht="12.8" hidden="false" customHeight="false" outlineLevel="0" collapsed="false">
      <c r="A19" s="99"/>
      <c r="B19" s="100"/>
      <c r="C19" s="100"/>
      <c r="D19" s="100"/>
      <c r="E19" s="101"/>
      <c r="F19" s="100"/>
      <c r="G19" s="102"/>
    </row>
    <row r="20" customFormat="false" ht="12.8" hidden="false" customHeight="false" outlineLevel="0" collapsed="false">
      <c r="A20" s="0" t="s">
        <v>156</v>
      </c>
      <c r="B20" s="46" t="str">
        <f aca="false">IF(C20&gt;0,"+","-")</f>
        <v>-</v>
      </c>
      <c r="C20" s="24" t="n">
        <v>-68220</v>
      </c>
      <c r="D20" s="24" t="n">
        <v>-62535</v>
      </c>
      <c r="E20" s="44" t="n">
        <f aca="false">(+C20/D20)-1</f>
        <v>0.0909090909090908</v>
      </c>
      <c r="F20" s="24" t="n">
        <v>-47754</v>
      </c>
      <c r="G20" s="44" t="n">
        <f aca="false">(+D20/F20)-1</f>
        <v>0.30952380952381</v>
      </c>
    </row>
    <row r="21" customFormat="false" ht="12.8" hidden="false" customHeight="false" outlineLevel="0" collapsed="false">
      <c r="A21" s="0" t="s">
        <v>157</v>
      </c>
      <c r="B21" s="46" t="str">
        <f aca="false">IF(C21&gt;0,"+","-")</f>
        <v>-</v>
      </c>
      <c r="C21" s="24" t="n">
        <v>0</v>
      </c>
      <c r="D21" s="24" t="n">
        <v>0</v>
      </c>
      <c r="E21" s="44" t="e">
        <f aca="false">(+C21/D21)-1</f>
        <v>#DIV/0!</v>
      </c>
      <c r="F21" s="24" t="n">
        <v>-31365</v>
      </c>
      <c r="G21" s="44" t="n">
        <f aca="false">(+D21/F21)-1</f>
        <v>-1</v>
      </c>
    </row>
    <row r="22" customFormat="false" ht="12.8" hidden="false" customHeight="false" outlineLevel="0" collapsed="false">
      <c r="A22" s="0" t="s">
        <v>158</v>
      </c>
      <c r="B22" s="46" t="str">
        <f aca="false">IF(C22&gt;0,"+","-")</f>
        <v>-</v>
      </c>
      <c r="C22" s="24" t="n">
        <v>0</v>
      </c>
      <c r="D22" s="24" t="n">
        <v>0</v>
      </c>
      <c r="E22" s="44" t="e">
        <f aca="false">(+C22/D22)-1</f>
        <v>#DIV/0!</v>
      </c>
      <c r="F22" s="24" t="n">
        <v>0</v>
      </c>
      <c r="G22" s="44" t="e">
        <f aca="false">(+D22/F22)-1</f>
        <v>#DIV/0!</v>
      </c>
    </row>
    <row r="23" customFormat="false" ht="12.8" hidden="false" customHeight="false" outlineLevel="0" collapsed="false">
      <c r="A23" s="0" t="s">
        <v>159</v>
      </c>
      <c r="B23" s="46" t="str">
        <f aca="false">IF(C23&gt;0,"+","-")</f>
        <v>-</v>
      </c>
      <c r="C23" s="24" t="n">
        <v>0</v>
      </c>
      <c r="D23" s="24" t="n">
        <v>0</v>
      </c>
      <c r="E23" s="44" t="e">
        <f aca="false">(+C23/D23)-1</f>
        <v>#DIV/0!</v>
      </c>
      <c r="F23" s="24" t="n">
        <v>0</v>
      </c>
      <c r="G23" s="44" t="e">
        <f aca="false">(+D23/F23)-1</f>
        <v>#DIV/0!</v>
      </c>
    </row>
    <row r="24" customFormat="false" ht="12.8" hidden="false" customHeight="false" outlineLevel="0" collapsed="false">
      <c r="A24" s="0" t="s">
        <v>160</v>
      </c>
      <c r="B24" s="46" t="str">
        <f aca="false">IF(C24&gt;0,"+","-")</f>
        <v>-</v>
      </c>
      <c r="C24" s="24" t="n">
        <v>0</v>
      </c>
      <c r="D24" s="24" t="n">
        <v>0</v>
      </c>
      <c r="E24" s="44" t="e">
        <f aca="false">(+C24/D24)-1</f>
        <v>#DIV/0!</v>
      </c>
      <c r="F24" s="24" t="n">
        <v>0</v>
      </c>
      <c r="G24" s="44" t="e">
        <f aca="false">(+D24/F24)-1</f>
        <v>#DIV/0!</v>
      </c>
    </row>
    <row r="25" customFormat="false" ht="12.8" hidden="false" customHeight="false" outlineLevel="0" collapsed="false">
      <c r="A25" s="103" t="s">
        <v>161</v>
      </c>
      <c r="B25" s="104" t="n">
        <f aca="false">SUM(C4:C24)</f>
        <v>-143689</v>
      </c>
      <c r="C25" s="104"/>
      <c r="D25" s="26" t="n">
        <f aca="false">SUM(D4:D24)</f>
        <v>-41706</v>
      </c>
      <c r="E25" s="105" t="n">
        <f aca="false">(+B25/D25)-1</f>
        <v>2.44528365223229</v>
      </c>
      <c r="F25" s="26" t="n">
        <f aca="false">SUM(F4:F24)</f>
        <v>519931</v>
      </c>
      <c r="G25" s="105" t="n">
        <f aca="false">(+D25/F25)-1</f>
        <v>-1.08021448999963</v>
      </c>
    </row>
    <row r="26" customFormat="false" ht="12.8" hidden="false" customHeight="false" outlineLevel="0" collapsed="false">
      <c r="A26" s="31" t="s">
        <v>162</v>
      </c>
      <c r="B26" s="31"/>
      <c r="C26" s="31"/>
      <c r="D26" s="31"/>
      <c r="E26" s="31"/>
      <c r="F26" s="31"/>
      <c r="G26" s="31"/>
    </row>
    <row r="27" customFormat="false" ht="12.8" hidden="false" customHeight="false" outlineLevel="0" collapsed="false">
      <c r="A27" s="0" t="s">
        <v>163</v>
      </c>
      <c r="B27" s="46" t="str">
        <f aca="false">IF(C27&gt;0,"+","-")</f>
        <v>-</v>
      </c>
      <c r="C27" s="24" t="n">
        <v>-176200</v>
      </c>
      <c r="D27" s="24" t="n">
        <v>-143650</v>
      </c>
      <c r="E27" s="44" t="n">
        <f aca="false">(+C27/D27)-1</f>
        <v>0.226592412112774</v>
      </c>
      <c r="F27" s="24" t="n">
        <v>-158765</v>
      </c>
      <c r="G27" s="44" t="n">
        <f aca="false">(+D27/F27)-1</f>
        <v>-0.0952036028091834</v>
      </c>
    </row>
    <row r="28" customFormat="false" ht="12.8" hidden="false" customHeight="false" outlineLevel="0" collapsed="false">
      <c r="A28" s="0" t="s">
        <v>164</v>
      </c>
      <c r="B28" s="46" t="str">
        <f aca="false">IF(C28&gt;0,"+","-")</f>
        <v>+</v>
      </c>
      <c r="C28" s="24" t="n">
        <v>38625</v>
      </c>
      <c r="D28" s="24" t="n">
        <v>95698</v>
      </c>
      <c r="E28" s="44" t="n">
        <f aca="false">(+C28/D28)-1</f>
        <v>-0.596386549353174</v>
      </c>
      <c r="F28" s="24" t="n">
        <v>0</v>
      </c>
      <c r="G28" s="44" t="e">
        <f aca="false">(+D28/F28)-1</f>
        <v>#DIV/0!</v>
      </c>
    </row>
    <row r="29" customFormat="false" ht="12.8" hidden="false" customHeight="false" outlineLevel="0" collapsed="false">
      <c r="A29" s="0" t="s">
        <v>165</v>
      </c>
      <c r="B29" s="46" t="str">
        <f aca="false">IF(C29&gt;0,"+","-")</f>
        <v>+</v>
      </c>
      <c r="C29" s="24" t="n">
        <v>100957</v>
      </c>
      <c r="D29" s="24" t="n">
        <v>107805</v>
      </c>
      <c r="E29" s="44" t="n">
        <f aca="false">(+C29/D29)-1</f>
        <v>-0.0635221000881221</v>
      </c>
      <c r="F29" s="22" t="n">
        <v>0</v>
      </c>
      <c r="G29" s="44" t="e">
        <f aca="false">(+D29/F29)-1</f>
        <v>#DIV/0!</v>
      </c>
    </row>
    <row r="30" customFormat="false" ht="12.8" hidden="false" customHeight="false" outlineLevel="0" collapsed="false">
      <c r="A30" s="0" t="s">
        <v>166</v>
      </c>
      <c r="B30" s="46" t="str">
        <f aca="false">IF(C30&gt;0,"+","-")</f>
        <v>-</v>
      </c>
      <c r="C30" s="24" t="n">
        <v>0</v>
      </c>
      <c r="D30" s="24" t="n">
        <v>0</v>
      </c>
      <c r="E30" s="44" t="e">
        <f aca="false">(+C30/D30)-1</f>
        <v>#DIV/0!</v>
      </c>
      <c r="F30" s="24" t="n">
        <v>0</v>
      </c>
      <c r="G30" s="44" t="e">
        <f aca="false">(+D30/F30)-1</f>
        <v>#DIV/0!</v>
      </c>
    </row>
    <row r="31" customFormat="false" ht="12.8" hidden="false" customHeight="false" outlineLevel="0" collapsed="false">
      <c r="A31" s="0" t="s">
        <v>160</v>
      </c>
      <c r="B31" s="46" t="str">
        <f aca="false">IF(C31&gt;0,"+","-")</f>
        <v>+</v>
      </c>
      <c r="C31" s="24" t="n">
        <f aca="false">46627</f>
        <v>46627</v>
      </c>
      <c r="D31" s="24" t="n">
        <v>0</v>
      </c>
      <c r="E31" s="44" t="e">
        <f aca="false">(+C31/D31)-1</f>
        <v>#DIV/0!</v>
      </c>
      <c r="F31" s="24" t="n">
        <f aca="false">-195184+24</f>
        <v>-195160</v>
      </c>
      <c r="G31" s="44" t="n">
        <f aca="false">(+D31/F31)-1</f>
        <v>-1</v>
      </c>
      <c r="L31" s="0"/>
      <c r="M31" s="0"/>
      <c r="N31" s="0"/>
    </row>
    <row r="32" customFormat="false" ht="12.8" hidden="false" customHeight="false" outlineLevel="0" collapsed="false">
      <c r="A32" s="0" t="s">
        <v>167</v>
      </c>
      <c r="B32" s="46" t="str">
        <f aca="false">IF(C32&gt;0,"+","-")</f>
        <v>+</v>
      </c>
      <c r="C32" s="24" t="n">
        <v>2535</v>
      </c>
      <c r="D32" s="24" t="n">
        <v>1374</v>
      </c>
      <c r="E32" s="44" t="n">
        <f aca="false">(+C32/D32)-1</f>
        <v>0.844978165938865</v>
      </c>
      <c r="F32" s="24" t="n">
        <v>2695</v>
      </c>
      <c r="G32" s="44" t="n">
        <f aca="false">(+D32/F32)-1</f>
        <v>-0.490166975881262</v>
      </c>
      <c r="L32" s="0"/>
      <c r="M32" s="0"/>
      <c r="N32" s="0"/>
    </row>
    <row r="33" customFormat="false" ht="12.8" hidden="false" customHeight="false" outlineLevel="0" collapsed="false">
      <c r="A33" s="0" t="s">
        <v>168</v>
      </c>
      <c r="B33" s="46" t="str">
        <f aca="false">IF(C33&gt;0,"+","-")</f>
        <v>+</v>
      </c>
      <c r="C33" s="24" t="n">
        <v>68220</v>
      </c>
      <c r="D33" s="24" t="n">
        <v>62535</v>
      </c>
      <c r="E33" s="44" t="n">
        <f aca="false">(+C33/D33)-1</f>
        <v>0.0909090909090908</v>
      </c>
      <c r="F33" s="24" t="n">
        <v>47754</v>
      </c>
      <c r="G33" s="44" t="n">
        <f aca="false">(+D33/F33)-1</f>
        <v>0.30952380952381</v>
      </c>
    </row>
    <row r="34" customFormat="false" ht="12.8" hidden="false" customHeight="false" outlineLevel="0" collapsed="false">
      <c r="A34" s="103" t="s">
        <v>161</v>
      </c>
      <c r="B34" s="106" t="n">
        <f aca="false">SUM(C27:C33)</f>
        <v>80764</v>
      </c>
      <c r="C34" s="106"/>
      <c r="D34" s="26" t="n">
        <f aca="false">SUM(D27:D33)</f>
        <v>123762</v>
      </c>
      <c r="E34" s="105" t="n">
        <f aca="false">(+B34/D34)-1</f>
        <v>-0.347424896171684</v>
      </c>
      <c r="F34" s="26" t="n">
        <f aca="false">SUM(F27:F33)</f>
        <v>-303476</v>
      </c>
      <c r="G34" s="105" t="n">
        <f aca="false">(+D34/F34)-1</f>
        <v>-1.40781478601273</v>
      </c>
    </row>
    <row r="35" customFormat="false" ht="12.8" hidden="false" customHeight="false" outlineLevel="0" collapsed="false">
      <c r="A35" s="107" t="s">
        <v>169</v>
      </c>
      <c r="B35" s="107"/>
      <c r="C35" s="107"/>
      <c r="D35" s="107"/>
      <c r="E35" s="107"/>
      <c r="F35" s="107"/>
      <c r="G35" s="107"/>
    </row>
    <row r="36" customFormat="false" ht="12.8" hidden="false" customHeight="false" outlineLevel="0" collapsed="false">
      <c r="A36" s="28" t="s">
        <v>170</v>
      </c>
      <c r="B36" s="46" t="str">
        <f aca="false">IF(C36&gt;0,"+","-")</f>
        <v>-</v>
      </c>
      <c r="C36" s="24" t="n">
        <v>0</v>
      </c>
      <c r="D36" s="24" t="n">
        <v>0</v>
      </c>
      <c r="E36" s="108" t="e">
        <f aca="false">(+C36/D36)-1</f>
        <v>#DIV/0!</v>
      </c>
      <c r="F36" s="24" t="n">
        <v>0</v>
      </c>
      <c r="G36" s="44" t="e">
        <f aca="false">(+D36/F36)-1</f>
        <v>#DIV/0!</v>
      </c>
    </row>
    <row r="37" customFormat="false" ht="12.8" hidden="false" customHeight="false" outlineLevel="0" collapsed="false">
      <c r="A37" s="0" t="s">
        <v>171</v>
      </c>
      <c r="B37" s="46" t="str">
        <f aca="false">IF(C37&gt;0,"+","-")</f>
        <v>-</v>
      </c>
      <c r="C37" s="24" t="n">
        <v>0</v>
      </c>
      <c r="D37" s="24" t="n">
        <v>0</v>
      </c>
      <c r="E37" s="108" t="e">
        <f aca="false">(+C37/D37)-1</f>
        <v>#DIV/0!</v>
      </c>
      <c r="F37" s="24" t="n">
        <v>0</v>
      </c>
      <c r="G37" s="44" t="e">
        <f aca="false">(+D37/F37)-1</f>
        <v>#DIV/0!</v>
      </c>
    </row>
    <row r="38" customFormat="false" ht="19.4" hidden="false" customHeight="false" outlineLevel="0" collapsed="false">
      <c r="A38" s="109" t="s">
        <v>172</v>
      </c>
      <c r="B38" s="46" t="str">
        <f aca="false">IF(C38&gt;0,"+","-")</f>
        <v>+</v>
      </c>
      <c r="C38" s="24" t="n">
        <v>141344</v>
      </c>
      <c r="D38" s="24" t="n">
        <v>0</v>
      </c>
      <c r="E38" s="108" t="e">
        <f aca="false">(+C38/D38)-1</f>
        <v>#DIV/0!</v>
      </c>
      <c r="F38" s="24" t="n">
        <v>-298002</v>
      </c>
      <c r="G38" s="44" t="n">
        <f aca="false">(+D38/F38)-1</f>
        <v>-1</v>
      </c>
    </row>
    <row r="39" customFormat="false" ht="12.8" hidden="false" customHeight="false" outlineLevel="0" collapsed="false">
      <c r="A39" s="0" t="s">
        <v>173</v>
      </c>
      <c r="B39" s="46" t="str">
        <f aca="false">IF(C39&gt;0,"+","-")</f>
        <v>-</v>
      </c>
      <c r="C39" s="24" t="n">
        <v>0</v>
      </c>
      <c r="D39" s="24" t="n">
        <v>0</v>
      </c>
      <c r="E39" s="108" t="e">
        <f aca="false">(+C39/D39)-1</f>
        <v>#DIV/0!</v>
      </c>
      <c r="F39" s="24" t="n">
        <v>0</v>
      </c>
      <c r="G39" s="44" t="e">
        <f aca="false">(+D39/F39)-1</f>
        <v>#DIV/0!</v>
      </c>
    </row>
    <row r="40" customFormat="false" ht="12.8" hidden="false" customHeight="false" outlineLevel="0" collapsed="false">
      <c r="A40" s="0" t="s">
        <v>174</v>
      </c>
      <c r="B40" s="46" t="str">
        <f aca="false">IF(C40&gt;0,"+","-")</f>
        <v>-</v>
      </c>
      <c r="C40" s="24" t="n">
        <v>-71857</v>
      </c>
      <c r="D40" s="24" t="n">
        <v>-114866</v>
      </c>
      <c r="E40" s="108" t="n">
        <f aca="false">(+C40/D40)-1</f>
        <v>-0.374427593892013</v>
      </c>
      <c r="F40" s="24" t="n">
        <v>-109107</v>
      </c>
      <c r="G40" s="44" t="n">
        <f aca="false">(+D40/F40)-1</f>
        <v>0.0527830478337779</v>
      </c>
    </row>
    <row r="41" customFormat="false" ht="12.8" hidden="false" customHeight="false" outlineLevel="0" collapsed="false">
      <c r="A41" s="0" t="s">
        <v>175</v>
      </c>
      <c r="B41" s="46" t="str">
        <f aca="false">IF(C41&gt;0,"+","-")</f>
        <v>-</v>
      </c>
      <c r="C41" s="24" t="n">
        <v>0</v>
      </c>
      <c r="D41" s="24" t="n">
        <v>0</v>
      </c>
      <c r="E41" s="108" t="e">
        <f aca="false">(+C41/D41)-1</f>
        <v>#DIV/0!</v>
      </c>
      <c r="F41" s="24" t="n">
        <v>0</v>
      </c>
      <c r="G41" s="44" t="e">
        <f aca="false">(+D41/F41)-1</f>
        <v>#DIV/0!</v>
      </c>
    </row>
    <row r="42" customFormat="false" ht="12.8" hidden="false" customHeight="false" outlineLevel="0" collapsed="false">
      <c r="A42" s="0" t="s">
        <v>176</v>
      </c>
      <c r="B42" s="46" t="str">
        <f aca="false">IF(C42&gt;0,"+","-")</f>
        <v>-</v>
      </c>
      <c r="C42" s="24" t="n">
        <v>0</v>
      </c>
      <c r="D42" s="24" t="n">
        <v>0</v>
      </c>
      <c r="E42" s="108" t="e">
        <f aca="false">(+C42/D42)-1</f>
        <v>#DIV/0!</v>
      </c>
      <c r="F42" s="24" t="n">
        <v>0</v>
      </c>
      <c r="G42" s="44" t="e">
        <f aca="false">(+D42/F42)-1</f>
        <v>#DIV/0!</v>
      </c>
    </row>
    <row r="43" customFormat="false" ht="12.8" hidden="false" customHeight="false" outlineLevel="0" collapsed="false">
      <c r="A43" s="103" t="s">
        <v>161</v>
      </c>
      <c r="B43" s="106" t="n">
        <f aca="false">SUM(C36:C42)</f>
        <v>69487</v>
      </c>
      <c r="C43" s="106"/>
      <c r="D43" s="26" t="n">
        <f aca="false">SUM(D36:D42)</f>
        <v>-114866</v>
      </c>
      <c r="E43" s="105" t="n">
        <f aca="false">(+B43/D43)-1</f>
        <v>-1.60493966883151</v>
      </c>
      <c r="F43" s="26" t="n">
        <f aca="false">SUM(F36:F42)</f>
        <v>-407109</v>
      </c>
      <c r="G43" s="105" t="n">
        <f aca="false">(+D43/F43)-1</f>
        <v>-0.717849519416176</v>
      </c>
    </row>
    <row r="44" customFormat="false" ht="12.8" hidden="false" customHeight="false" outlineLevel="0" collapsed="false">
      <c r="A44" s="50" t="s">
        <v>177</v>
      </c>
      <c r="B44" s="50"/>
      <c r="C44" s="50"/>
      <c r="D44" s="50"/>
      <c r="E44" s="50"/>
      <c r="F44" s="50"/>
      <c r="G44" s="50"/>
    </row>
    <row r="45" customFormat="false" ht="12.8" hidden="false" customHeight="false" outlineLevel="0" collapsed="false">
      <c r="A45" s="103" t="s">
        <v>178</v>
      </c>
      <c r="B45" s="110" t="n">
        <v>77919</v>
      </c>
      <c r="C45" s="110"/>
      <c r="D45" s="26" t="n">
        <v>110729</v>
      </c>
      <c r="E45" s="105" t="n">
        <f aca="false">(+B45/D45)-1</f>
        <v>-0.296309006673952</v>
      </c>
      <c r="F45" s="26" t="n">
        <v>300883</v>
      </c>
      <c r="G45" s="105" t="n">
        <f aca="false">(+D45/F45)-1</f>
        <v>-0.631986519677084</v>
      </c>
    </row>
    <row r="46" customFormat="false" ht="12.8" hidden="false" customHeight="false" outlineLevel="0" collapsed="false">
      <c r="A46" s="103" t="s">
        <v>179</v>
      </c>
      <c r="B46" s="110" t="n">
        <f aca="false">+B25+B34+B43</f>
        <v>6562</v>
      </c>
      <c r="C46" s="110"/>
      <c r="D46" s="26" t="n">
        <f aca="false">+D43+D34+D25</f>
        <v>-32810</v>
      </c>
      <c r="E46" s="105" t="n">
        <f aca="false">(+B46/D46)-1</f>
        <v>-1.2</v>
      </c>
      <c r="F46" s="26" t="n">
        <f aca="false">+F43+F34+F25</f>
        <v>-190654</v>
      </c>
      <c r="G46" s="105" t="n">
        <f aca="false">(+D46/F46)-1</f>
        <v>-0.827908147744081</v>
      </c>
    </row>
    <row r="47" customFormat="false" ht="12.8" hidden="false" customHeight="false" outlineLevel="0" collapsed="false">
      <c r="A47" s="103" t="s">
        <v>180</v>
      </c>
      <c r="B47" s="110" t="n">
        <f aca="false">+B45+B46</f>
        <v>84481</v>
      </c>
      <c r="C47" s="110"/>
      <c r="D47" s="26" t="n">
        <f aca="false">+D45+D46</f>
        <v>77919</v>
      </c>
      <c r="E47" s="105" t="n">
        <f aca="false">(+B47/D47)-1</f>
        <v>0.0842156598518975</v>
      </c>
      <c r="F47" s="26" t="n">
        <f aca="false">+F45+F46</f>
        <v>110229</v>
      </c>
      <c r="G47" s="105" t="n">
        <f aca="false">(+D47/F47)-1</f>
        <v>-0.293117056310045</v>
      </c>
    </row>
    <row r="48" customFormat="false" ht="12.8" hidden="false" customHeight="false" outlineLevel="0" collapsed="false">
      <c r="A48" s="50"/>
      <c r="B48" s="50"/>
      <c r="C48" s="50"/>
      <c r="D48" s="50"/>
      <c r="E48" s="50"/>
      <c r="F48" s="50"/>
      <c r="G48" s="50"/>
    </row>
  </sheetData>
  <mergeCells count="17">
    <mergeCell ref="A3:G3"/>
    <mergeCell ref="I3:K3"/>
    <mergeCell ref="I4:K4"/>
    <mergeCell ref="I5:K5"/>
    <mergeCell ref="I6:K6"/>
    <mergeCell ref="I7:K7"/>
    <mergeCell ref="I8:K8"/>
    <mergeCell ref="B25:C25"/>
    <mergeCell ref="A26:G26"/>
    <mergeCell ref="B34:C34"/>
    <mergeCell ref="A35:G35"/>
    <mergeCell ref="B43:C43"/>
    <mergeCell ref="A44:G44"/>
    <mergeCell ref="B45:C45"/>
    <mergeCell ref="B46:C46"/>
    <mergeCell ref="B47:C47"/>
    <mergeCell ref="A48:G48"/>
  </mergeCells>
  <hyperlinks>
    <hyperlink ref="A1" location="Опис" display="Назад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2022-05-23T16:46:00Z</dcterms:created>
  <dc:creator/>
  <dc:description/>
  <dc:language>en-US</dc:language>
  <cp:lastModifiedBy/>
  <dcterms:modified xsi:type="dcterms:W3CDTF">2022-05-28T13:07:19Z</dcterms:modified>
  <cp:revision>29</cp:revision>
  <dc:subject/>
  <dc:title/>
</cp:coreProperties>
</file>