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2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<sst xmlns="http://schemas.openxmlformats.org/spreadsheetml/2006/main" count="226" uniqueCount="203">
  <si>
    <t xml:space="preserve">Линкови</t>
  </si>
  <si>
    <t xml:space="preserve">Готвински принос</t>
  </si>
  <si>
    <t xml:space="preserve">Назив на АД</t>
  </si>
  <si>
    <t xml:space="preserve">Основана</t>
  </si>
  <si>
    <t xml:space="preserve">Средства</t>
  </si>
  <si>
    <t xml:space="preserve">Тикер</t>
  </si>
  <si>
    <t xml:space="preserve">Дејност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</si>
  <si>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</si>
  <si>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</si>
  <si>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</si>
  <si>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</si>
  <si>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</si>
  <si>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</si>
  <si>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</si>
  <si>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</si>
  <si>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</si>
  <si>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</si>
  <si>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</si>
  <si>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</si>
  <si>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</si>
  <si>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</si>
  <si>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</si>
  <si>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</si>
  <si>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</si>
  <si>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</si>
  <si>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</si>
  <si>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</si>
  <si>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</si>
  <si>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</si>
  <si>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</si>
  <si>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</si>
  <si>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</si>
  <si>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Приходи од камата</t>
  </si>
  <si>
    <t xml:space="preserve">Расходи за камата</t>
  </si>
  <si>
    <t xml:space="preserve">Приходи од при. Деј. (primCOGS)</t>
  </si>
  <si>
    <t xml:space="preserve">Приходи од провизии и надомести</t>
  </si>
  <si>
    <t xml:space="preserve">Расходи од провизии и надомести</t>
  </si>
  <si>
    <t xml:space="preserve">Приходи од сек. Деј. (secCOGS)</t>
  </si>
  <si>
    <t xml:space="preserve">Нето приходи од тргување</t>
  </si>
  <si>
    <t xml:space="preserve">Нето приходи од фин. Инст</t>
  </si>
  <si>
    <t xml:space="preserve">Нето приходи од курсни разлики</t>
  </si>
  <si>
    <t xml:space="preserve">Приходи од тер. Деј. (ter.COGS)</t>
  </si>
  <si>
    <t xml:space="preserve">Исправка на вонбалансна излож.</t>
  </si>
  <si>
    <t xml:space="preserve">Загуба поради оштетување на сре.</t>
  </si>
  <si>
    <t xml:space="preserve">Трошоци за вработени</t>
  </si>
  <si>
    <t xml:space="preserve">Оперативна добивка (EBITDA)</t>
  </si>
  <si>
    <t xml:space="preserve">Финансирање</t>
  </si>
  <si>
    <t xml:space="preserve">Приходи од придружени друштва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</si>
  <si>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</si>
  <si>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</si>
  <si>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</si>
  <si>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</si>
  <si>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</si>
  <si>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</si>
  <si>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</si>
  <si>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</si>
  <si>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</si>
  <si>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</si>
  <si>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</si>
  <si>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</si>
  <si>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</si>
  <si>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</si>
  <si>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</si>
  <si>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</si>
  <si>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Дивиденден Принос</t>
  </si>
  <si>
    <t xml:space="preserve">по 10год</t>
  </si>
  <si>
    <t xml:space="preserve">Куповна цена</t>
  </si>
  <si>
    <t xml:space="preserve">Апс. Разлика (Профит/Разлика)</t>
  </si>
  <si>
    <t xml:space="preserve">Индикатори</t>
  </si>
  <si>
    <t xml:space="preserve">Годишна</t>
  </si>
  <si>
    <t xml:space="preserve">Бруто Маржа од Камати</t>
  </si>
  <si>
    <t xml:space="preserve">Бруто Маржа од провизии</t>
  </si>
  <si>
    <t xml:space="preserve">Удел на каматен доход во вкупен</t>
  </si>
  <si>
    <t xml:space="preserve">Удел на провизионен доход во вку.</t>
  </si>
  <si>
    <t xml:space="preserve">Удел на ост. Доход во вкупен</t>
  </si>
  <si>
    <t xml:space="preserve">Удел на други прет во вкупен</t>
  </si>
  <si>
    <t xml:space="preserve">Удел на други текови во вкупно</t>
  </si>
  <si>
    <t xml:space="preserve">Оперативна Маржа</t>
  </si>
  <si>
    <t xml:space="preserve">Профит Маржа</t>
  </si>
  <si>
    <t xml:space="preserve">Данок</t>
  </si>
  <si>
    <t xml:space="preserve">Пораст на приход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</si>
  <si>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</si>
  <si>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</si>
  <si>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</si>
  <si>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</si>
  <si>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</si>
  <si>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</si>
  <si>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</si>
  <si>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</si>
  <si>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</si>
  <si>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</si>
  <si>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</si>
  <si>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Покритие на депозити</t>
  </si>
  <si>
    <t xml:space="preserve">c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</si>
  <si>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</si>
  <si>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</si>
  <si>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</si>
  <si>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</si>
  <si>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за тргување</t>
  </si>
  <si>
    <t xml:space="preserve">Парични еквиваленти</t>
  </si>
  <si>
    <t xml:space="preserve">Обврски за данок на добивка</t>
  </si>
  <si>
    <t xml:space="preserve">Средства за тргување</t>
  </si>
  <si>
    <t xml:space="preserve">Депозити на банки</t>
  </si>
  <si>
    <t xml:space="preserve">Побарувања на данок на добив.</t>
  </si>
  <si>
    <t xml:space="preserve">Депозити на други коминтенти</t>
  </si>
  <si>
    <t xml:space="preserve">Останати побарувања</t>
  </si>
  <si>
    <t xml:space="preserve">Постојани обврски</t>
  </si>
  <si>
    <t xml:space="preserve">Постојани средства</t>
  </si>
  <si>
    <t xml:space="preserve">Субординирани обв.</t>
  </si>
  <si>
    <t xml:space="preserve">Недвижност и опрема</t>
  </si>
  <si>
    <t xml:space="preserve">Фин обврски по објек.</t>
  </si>
  <si>
    <t xml:space="preserve">Нематријални средства</t>
  </si>
  <si>
    <t xml:space="preserve">Дериватни обв за управување</t>
  </si>
  <si>
    <t xml:space="preserve">Одложени даночни средства</t>
  </si>
  <si>
    <t xml:space="preserve">Издадени должнички хар од вре.</t>
  </si>
  <si>
    <t xml:space="preserve">Кредити од банки</t>
  </si>
  <si>
    <t xml:space="preserve">Обврски по кредити</t>
  </si>
  <si>
    <t xml:space="preserve">Кредити од други комитенти</t>
  </si>
  <si>
    <t xml:space="preserve">Посебна резерва и резерви</t>
  </si>
  <si>
    <t xml:space="preserve">Фин средства по објек.</t>
  </si>
  <si>
    <t xml:space="preserve">Одложени даночни обврски</t>
  </si>
  <si>
    <t xml:space="preserve">Деративи за управување со риз</t>
  </si>
  <si>
    <t xml:space="preserve">Обв. За отуѓување</t>
  </si>
  <si>
    <t xml:space="preserve">Вложувања во хартии од вред.</t>
  </si>
  <si>
    <t xml:space="preserve">Остананти обврски</t>
  </si>
  <si>
    <t xml:space="preserve">Вложувања во придружни дру.</t>
  </si>
  <si>
    <t xml:space="preserve">Долгорочни обврски</t>
  </si>
  <si>
    <t xml:space="preserve">Останати долгорочни средства</t>
  </si>
  <si>
    <t xml:space="preserve">Средства одземени за непо.</t>
  </si>
  <si>
    <t xml:space="preserve">Вкупно обврски</t>
  </si>
  <si>
    <t xml:space="preserve">Заложени средства</t>
  </si>
  <si>
    <t xml:space="preserve">Нетековни средства (инв)</t>
  </si>
  <si>
    <t xml:space="preserve">Капитал</t>
  </si>
  <si>
    <t xml:space="preserve">Долгорочни средства</t>
  </si>
  <si>
    <t xml:space="preserve">Запишан капитал</t>
  </si>
  <si>
    <t xml:space="preserve">Премии од акции</t>
  </si>
  <si>
    <t xml:space="preserve">Вкупно средства</t>
  </si>
  <si>
    <t xml:space="preserve">Сопствени акции</t>
  </si>
  <si>
    <t xml:space="preserve">Други сопственички инст.</t>
  </si>
  <si>
    <t xml:space="preserve">Вкупно пари</t>
  </si>
  <si>
    <t xml:space="preserve">Ревалозирани резерви</t>
  </si>
  <si>
    <t xml:space="preserve">Останати резерви</t>
  </si>
  <si>
    <t xml:space="preserve">Задржана добивка/загуба</t>
  </si>
  <si>
    <t xml:space="preserve">Вкупно капитал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</si>
  <si>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</si>
  <si>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</si>
  <si>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</si>
  <si>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</si>
  <si>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</si>
  <si>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</si>
  <si>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</si>
  <si>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</si>
  <si>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Добивка пред данок</t>
  </si>
  <si>
    <t xml:space="preserve">Некорегирано учество</t>
  </si>
  <si>
    <t xml:space="preserve">Амортизација</t>
  </si>
  <si>
    <t xml:space="preserve">Капитална добивка</t>
  </si>
  <si>
    <t xml:space="preserve">Капитална загуба</t>
  </si>
  <si>
    <t xml:space="preserve">Приходи од камати</t>
  </si>
  <si>
    <t xml:space="preserve">Расходи од камати</t>
  </si>
  <si>
    <t xml:space="preserve">Нето приходи за тргување</t>
  </si>
  <si>
    <t xml:space="preserve">Долг/Капитал</t>
  </si>
  <si>
    <t xml:space="preserve">Исправка на вред на рез</t>
  </si>
  <si>
    <t xml:space="preserve">Загуба поради оштетување</t>
  </si>
  <si>
    <t xml:space="preserve">Покритие на камата</t>
  </si>
  <si>
    <t xml:space="preserve">Резервирања</t>
  </si>
  <si>
    <t xml:space="preserve">Останати корекции</t>
  </si>
  <si>
    <t xml:space="preserve">Рас./при од камати</t>
  </si>
  <si>
    <t xml:space="preserve">Дивиденди</t>
  </si>
  <si>
    <t xml:space="preserve">Удел во доб/заг од друштва</t>
  </si>
  <si>
    <t xml:space="preserve">Нето прилив/одлив</t>
  </si>
  <si>
    <t xml:space="preserve">Промени во деловната актива</t>
  </si>
  <si>
    <t xml:space="preserve">Дерив. За управуање со риз</t>
  </si>
  <si>
    <t xml:space="preserve">Кредити и поб од банки</t>
  </si>
  <si>
    <t xml:space="preserve">Кредити и поб од други ком</t>
  </si>
  <si>
    <t xml:space="preserve">Задолжени средства</t>
  </si>
  <si>
    <t xml:space="preserve">Превземени средства</t>
  </si>
  <si>
    <t xml:space="preserve">Зад. рез. Во странски валути</t>
  </si>
  <si>
    <t xml:space="preserve">Зад. Депозит кај НБРМ</t>
  </si>
  <si>
    <t xml:space="preserve">Нет. Средства за продажба</t>
  </si>
  <si>
    <t xml:space="preserve">Дерив. Обв за упр. Со ризик</t>
  </si>
  <si>
    <t xml:space="preserve">Депозити на други коминтети</t>
  </si>
  <si>
    <t xml:space="preserve">Останати обврски</t>
  </si>
  <si>
    <t xml:space="preserve">Обврски за отуѓување/прод.</t>
  </si>
  <si>
    <t xml:space="preserve">Инвестициони активности</t>
  </si>
  <si>
    <t xml:space="preserve">Вложување во хар. Од вре.</t>
  </si>
  <si>
    <t xml:space="preserve">Продажба на подружници</t>
  </si>
  <si>
    <t xml:space="preserve">При./Одл од немат. Средства</t>
  </si>
  <si>
    <t xml:space="preserve">Продражба на недвижнини</t>
  </si>
  <si>
    <t xml:space="preserve">Нетековни средства за прод.</t>
  </si>
  <si>
    <t xml:space="preserve">Останати приливи/одливи</t>
  </si>
  <si>
    <t xml:space="preserve">Финансиски активности</t>
  </si>
  <si>
    <t xml:space="preserve">Издавање на акции и сл</t>
  </si>
  <si>
    <t xml:space="preserve">Издавање на дол. Хартии</t>
  </si>
  <si>
    <t xml:space="preserve">Враќање на заеми</t>
  </si>
  <si>
    <t xml:space="preserve">При. од издадени дол. хартии од вредност и кредити</t>
  </si>
  <si>
    <t xml:space="preserve">Субординирани обврски</t>
  </si>
  <si>
    <t xml:space="preserve">Исплатена дивиденда</t>
  </si>
  <si>
    <t xml:space="preserve">Откуп/прод. на соп. акции</t>
  </si>
  <si>
    <t xml:space="preserve">Ост. Транс. од финансирање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</si>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</sst>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General"/>
    <numFmt numFmtId="172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5.6"/>
      <color rgb="FFDADADA"/>
      <name val="Ubuntu"/>
      <family val="0"/>
      <charset val="1"/>
    </font>
    <font>
      <sz val="10"/>
      <color rgb="FFC9211E"/>
      <name val="Arial"/>
      <family val="2"/>
      <charset val="1"/>
    </font>
    <font>
      <sz val="8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B2B2B2"/>
        <bgColor rgb="FFB7B3CA"/>
      </patternFill>
    </fill>
    <fill>
      <patternFill patternType="solid">
        <fgColor rgb="FF999999"/>
        <bgColor rgb="FF81ACA6"/>
      </patternFill>
    </fill>
    <fill>
      <patternFill patternType="solid">
        <fgColor rgb="FFF7D1D5"/>
        <bgColor rgb="FFFFDBB6"/>
      </patternFill>
    </fill>
    <fill>
      <patternFill patternType="solid">
        <fgColor rgb="FFBBE33D"/>
        <bgColor rgb="FFD4EA6B"/>
      </patternFill>
    </fill>
    <fill>
      <patternFill patternType="solid">
        <fgColor rgb="FF50938A"/>
        <bgColor rgb="FF729FCF"/>
      </patternFill>
    </fill>
    <fill>
      <patternFill patternType="solid">
        <fgColor rgb="FF8D1D75"/>
        <bgColor rgb="FF99336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E994"/>
        <bgColor rgb="FFE8F2A1"/>
      </patternFill>
    </fill>
    <fill>
      <patternFill patternType="solid">
        <fgColor rgb="FFFFDBB6"/>
        <bgColor rgb="FFF7D1D5"/>
      </patternFill>
    </fill>
    <fill>
      <patternFill patternType="solid">
        <fgColor rgb="FFE8A202"/>
        <bgColor rgb="FFFFAA95"/>
      </patternFill>
    </fill>
    <fill>
      <patternFill patternType="solid">
        <fgColor rgb="FFD4EA6B"/>
        <bgColor rgb="FFBBE33D"/>
      </patternFill>
    </fill>
    <fill>
      <patternFill patternType="solid">
        <fgColor rgb="FFE8F2A1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6D"/>
      </patternFill>
    </fill>
    <fill>
      <patternFill patternType="solid">
        <fgColor rgb="FF2A6099"/>
        <bgColor rgb="FF3366FF"/>
      </patternFill>
    </fill>
    <fill>
      <patternFill patternType="solid">
        <fgColor rgb="FFDDDDDD"/>
        <bgColor rgb="FFDADADA"/>
      </patternFill>
    </fill>
    <fill>
      <patternFill patternType="solid">
        <fgColor rgb="FFEC9BA4"/>
        <bgColor rgb="FFFFAA95"/>
      </patternFill>
    </fill>
    <fill>
      <patternFill patternType="solid">
        <fgColor rgb="FFFF6D6D"/>
        <bgColor rgb="FFEC9BA4"/>
      </patternFill>
    </fill>
    <fill>
      <patternFill patternType="solid">
        <fgColor rgb="FFAFD095"/>
        <bgColor rgb="FFB3CAC7"/>
      </patternFill>
    </fill>
    <fill>
      <patternFill patternType="solid">
        <fgColor rgb="FF729FCF"/>
        <bgColor rgb="FF81ACA6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ACA6"/>
      </patternFill>
    </fill>
    <fill>
      <patternFill patternType="solid">
        <fgColor rgb="FFB7B3CA"/>
        <bgColor rgb="FFB2B2B2"/>
      </patternFill>
    </fill>
    <fill>
      <patternFill patternType="solid">
        <fgColor rgb="FF81ACA6"/>
        <bgColor rgb="FF729FCF"/>
      </patternFill>
    </fill>
    <fill>
      <patternFill patternType="solid">
        <fgColor rgb="FFFFAA95"/>
        <bgColor rgb="FFEC9BA4"/>
      </patternFill>
    </fill>
    <fill>
      <patternFill patternType="solid">
        <fgColor rgb="FFFFFF6D"/>
        <bgColor rgb="FFFFE994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0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colors>
    <indexedColors>
      <rgbColor rgb="FF000000"/>
      <rgbColor rgb="FFF7D1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FD095"/>
      <rgbColor rgb="FF800080"/>
      <rgbColor rgb="FF008080"/>
      <rgbColor rgb="FFB3CAC7"/>
      <rgbColor rgb="FF81ACA6"/>
      <rgbColor rgb="FF729FCF"/>
      <rgbColor rgb="FF8D1D75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DADADA"/>
      <rgbColor rgb="FFE8F2A1"/>
      <rgbColor rgb="FFFFFF6D"/>
      <rgbColor rgb="FFB2B2B2"/>
      <rgbColor rgb="FFEC9BA4"/>
      <rgbColor rgb="FFB7B3CA"/>
      <rgbColor rgb="FFFFDBB6"/>
      <rgbColor rgb="FF3366FF"/>
      <rgbColor rgb="FF77BC65"/>
      <rgbColor rgb="FF81D41A"/>
      <rgbColor rgb="FFBBE33D"/>
      <rgbColor rgb="FFE8A202"/>
      <rgbColor rgb="FFFFAA95"/>
      <rgbColor rgb="FFFFE994"/>
      <rgbColor rgb="FF999999"/>
      <rgbColor rgb="FF003366"/>
      <rgbColor rgb="FF50938A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339120</xdr:colOff>
      <xdr:row>0</xdr:row>
      <xdr:rowOff>0</xdr:rowOff>
    </xdr:from>
    <xdr:to>
      <xdr:col>16</xdr:col>
      <xdr:colOff>369000</xdr:colOff>
      <xdr:row>27</xdr:row>
      <xdr:rowOff>162720</xdr:rowOff>
    </xdr:to>
    <xdr:sp>
      <xdr:nvSpPr>
        <xdr:cNvPr id="0" name="Line 1"/>
        <xdr:cNvSpPr/>
      </xdr:nvSpPr>
      <xdr:spPr>
        <a:xfrm>
          <a:off x="15215040" y="0"/>
          <a:ext cx="29880" cy="45518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27.55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/>
      <c r="D2" s="0" t="s">
        <v>3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4</v>
      </c>
      <c r="B3" s="0" t="s">
        <v>5</v>
      </c>
      <c r="C3" s="3"/>
      <c r="D3" s="0" t="s">
        <v>6</v>
      </c>
      <c r="E3" s="3"/>
      <c r="F3" s="6"/>
      <c r="G3" s="3" t="s">
        <v>7</v>
      </c>
      <c r="H3" s="8" t="s">
        <v>8</v>
      </c>
      <c r="I3" s="9" t="s">
        <v>9</v>
      </c>
      <c r="J3" s="8" t="s">
        <v>10</v>
      </c>
      <c r="K3" s="9" t="s">
        <v>9</v>
      </c>
      <c r="L3" s="8" t="s">
        <v>11</v>
      </c>
      <c r="M3" s="9" t="s">
        <v>9</v>
      </c>
    </row>
    <row r="4" customFormat="false" ht="12.8" hidden="false" customHeight="false" outlineLevel="0" collapsed="false">
      <c r="A4" s="2" t="s">
        <v>12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2.8" hidden="false" customHeight="false" outlineLevel="0" collapsed="false">
      <c r="D5" s="0" t="s">
        <v>13</v>
      </c>
      <c r="E5" s="13" t="n">
        <v>12093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14</v>
      </c>
      <c r="E6" s="15" t="n">
        <f aca="false">2279067/1000</f>
        <v>2279.067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15</v>
      </c>
      <c r="E7" s="16" t="n">
        <f aca="false">Средства!D29</f>
        <v>-14482696.6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16</v>
      </c>
      <c r="B9" s="17" t="s">
        <v>17</v>
      </c>
      <c r="C9" s="17" t="s">
        <v>18</v>
      </c>
      <c r="D9" s="18" t="s">
        <v>19</v>
      </c>
      <c r="E9" s="17" t="s">
        <v>20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C34" activeCellId="0" sqref="C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3"/>
    <col collapsed="false" customWidth="false" hidden="false" outlineLevel="0" max="3" min="3" style="1" width="11.52"/>
    <col collapsed="false" customWidth="true" hidden="false" outlineLevel="0" max="4" min="4" style="1" width="18.52"/>
    <col collapsed="false" customWidth="false" hidden="false" outlineLevel="0" max="14" min="5" style="1" width="11.52"/>
    <col collapsed="false" customWidth="true" hidden="false" outlineLevel="0" max="28" min="15" style="0" width="11.72"/>
  </cols>
  <sheetData>
    <row r="1" customFormat="false" ht="12.8" hidden="false" customHeight="false" outlineLevel="0" collapsed="false">
      <c r="A1" s="2" t="s">
        <v>21</v>
      </c>
      <c r="B1" s="8" t="n">
        <v>2019</v>
      </c>
      <c r="C1" s="8" t="s">
        <v>22</v>
      </c>
      <c r="D1" s="19" t="s">
        <v>23</v>
      </c>
      <c r="E1" s="1" t="s">
        <v>24</v>
      </c>
      <c r="F1" s="20" t="s">
        <v>25</v>
      </c>
      <c r="G1" s="1" t="n">
        <v>2020</v>
      </c>
      <c r="H1" s="8" t="s">
        <v>26</v>
      </c>
      <c r="I1" s="1" t="s">
        <v>27</v>
      </c>
      <c r="J1" s="1" t="s">
        <v>28</v>
      </c>
      <c r="K1" s="20" t="s">
        <v>29</v>
      </c>
      <c r="L1" s="1" t="n">
        <v>2021</v>
      </c>
      <c r="M1" s="1" t="s">
        <v>30</v>
      </c>
      <c r="N1" s="21"/>
      <c r="O1" s="22" t="n">
        <v>2019</v>
      </c>
      <c r="P1" s="23" t="n">
        <v>2020</v>
      </c>
      <c r="Q1" s="23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N2" s="21"/>
      <c r="P2" s="1"/>
      <c r="Q2" s="1"/>
    </row>
    <row r="3" customFormat="false" ht="12.8" hidden="false" customHeight="false" outlineLevel="0" collapsed="false">
      <c r="A3" s="24" t="s">
        <v>31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1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customFormat="false" ht="12.8" hidden="false" customHeight="false" outlineLevel="0" collapsed="false">
      <c r="A4" s="0" t="s">
        <v>32</v>
      </c>
      <c r="B4" s="25" t="n">
        <v>2916288</v>
      </c>
      <c r="C4" s="25" t="n">
        <v>729351</v>
      </c>
      <c r="D4" s="25" t="n">
        <f aca="false">1418682-C4</f>
        <v>689331</v>
      </c>
      <c r="E4" s="25" t="n">
        <f aca="false">2119879-(D4+C4)</f>
        <v>701197</v>
      </c>
      <c r="F4" s="25" t="n">
        <f aca="false">(2816672)-(E4+D4+C4)</f>
        <v>696793</v>
      </c>
      <c r="G4" s="26" t="n">
        <f aca="false">SUM(C4:F4)</f>
        <v>2816672</v>
      </c>
      <c r="H4" s="25" t="n">
        <v>666612</v>
      </c>
      <c r="I4" s="25" t="n">
        <f aca="false">1358237-H4</f>
        <v>691625</v>
      </c>
      <c r="J4" s="25" t="n">
        <f aca="false">2803850-(I4+H4)</f>
        <v>1445613</v>
      </c>
      <c r="K4" s="25" t="n">
        <f aca="false">(2803850)-(J4+I4+H4)</f>
        <v>0</v>
      </c>
      <c r="L4" s="26" t="n">
        <f aca="false">SUM(H4:K4)</f>
        <v>2803850</v>
      </c>
      <c r="M4" s="25" t="n">
        <v>714401</v>
      </c>
      <c r="N4" s="21"/>
      <c r="O4" s="25" t="n">
        <v>2916288</v>
      </c>
      <c r="P4" s="26" t="n">
        <f aca="false">G4</f>
        <v>2816672</v>
      </c>
      <c r="Q4" s="26" t="n">
        <f aca="false">L4</f>
        <v>2803850</v>
      </c>
      <c r="R4" s="25" t="n">
        <f aca="false">Q4*0.99</f>
        <v>2775811.5</v>
      </c>
      <c r="S4" s="25" t="n">
        <f aca="false">R4*0.99</f>
        <v>2748053.385</v>
      </c>
      <c r="T4" s="25" t="n">
        <f aca="false">S4*0.99</f>
        <v>2720572.85115</v>
      </c>
      <c r="U4" s="25" t="n">
        <f aca="false">T4*0.99</f>
        <v>2693367.1226385</v>
      </c>
      <c r="V4" s="25" t="n">
        <f aca="false">U4*0.99</f>
        <v>2666433.45141211</v>
      </c>
      <c r="W4" s="25" t="n">
        <f aca="false">V4*0.99</f>
        <v>2639769.11689799</v>
      </c>
      <c r="X4" s="25" t="n">
        <f aca="false">W4*0.99</f>
        <v>2613371.42572901</v>
      </c>
      <c r="Y4" s="25" t="n">
        <f aca="false">X4*0.99</f>
        <v>2587237.71147172</v>
      </c>
      <c r="Z4" s="25" t="n">
        <f aca="false">Y4*0.99</f>
        <v>2561365.33435701</v>
      </c>
      <c r="AA4" s="25" t="n">
        <f aca="false">Z4*0.99</f>
        <v>2535751.68101344</v>
      </c>
      <c r="AB4" s="25" t="n">
        <f aca="false">AA4*0.99</f>
        <v>2510394.1642033</v>
      </c>
    </row>
    <row r="5" customFormat="false" ht="12.8" hidden="false" customHeight="false" outlineLevel="0" collapsed="false">
      <c r="A5" s="0" t="s">
        <v>33</v>
      </c>
      <c r="B5" s="25" t="n">
        <v>511523</v>
      </c>
      <c r="C5" s="25" t="n">
        <v>118315</v>
      </c>
      <c r="D5" s="25" t="n">
        <f aca="false">(211930)-C5</f>
        <v>93615</v>
      </c>
      <c r="E5" s="25" t="n">
        <f aca="false">(303763)-(D5+C5)</f>
        <v>91833</v>
      </c>
      <c r="F5" s="25" t="n">
        <f aca="false">(396117)-(E5+D5+C5)</f>
        <v>92354</v>
      </c>
      <c r="G5" s="26" t="n">
        <f aca="false">SUM(C5:F5)</f>
        <v>396117</v>
      </c>
      <c r="H5" s="25" t="n">
        <v>90339</v>
      </c>
      <c r="I5" s="25" t="n">
        <f aca="false">(177971)-H5</f>
        <v>87632</v>
      </c>
      <c r="J5" s="25" t="n">
        <f aca="false">(263158)-(I5+H5)</f>
        <v>85187</v>
      </c>
      <c r="K5" s="25" t="n">
        <f aca="false">(348098)-(J5+I5+H5)</f>
        <v>84940</v>
      </c>
      <c r="L5" s="26" t="n">
        <f aca="false">SUM(H5:K5)</f>
        <v>348098</v>
      </c>
      <c r="M5" s="25" t="n">
        <v>82536</v>
      </c>
      <c r="N5" s="21"/>
      <c r="O5" s="25" t="n">
        <v>511523</v>
      </c>
      <c r="P5" s="26" t="n">
        <f aca="false">G5</f>
        <v>396117</v>
      </c>
      <c r="Q5" s="26" t="n">
        <f aca="false">L5</f>
        <v>348098</v>
      </c>
      <c r="R5" s="25" t="n">
        <f aca="false">Q5*0.99</f>
        <v>344617.02</v>
      </c>
      <c r="S5" s="25" t="n">
        <f aca="false">R5*0.99</f>
        <v>341170.8498</v>
      </c>
      <c r="T5" s="25" t="n">
        <f aca="false">S5*0.99</f>
        <v>337759.141302</v>
      </c>
      <c r="U5" s="25" t="n">
        <f aca="false">T5*0.99</f>
        <v>334381.54988898</v>
      </c>
      <c r="V5" s="25" t="n">
        <f aca="false">U5*0.99</f>
        <v>331037.73439009</v>
      </c>
      <c r="W5" s="25" t="n">
        <f aca="false">V5*0.99</f>
        <v>327727.357046189</v>
      </c>
      <c r="X5" s="25" t="n">
        <f aca="false">W5*0.99</f>
        <v>324450.083475727</v>
      </c>
      <c r="Y5" s="25" t="n">
        <f aca="false">X5*0.99</f>
        <v>321205.58264097</v>
      </c>
      <c r="Z5" s="25" t="n">
        <f aca="false">Y5*0.99</f>
        <v>317993.52681456</v>
      </c>
      <c r="AA5" s="25" t="n">
        <f aca="false">Z5*0.99</f>
        <v>314813.591546415</v>
      </c>
      <c r="AB5" s="25" t="n">
        <f aca="false">AA5*0.99</f>
        <v>311665.455630951</v>
      </c>
    </row>
    <row r="6" customFormat="false" ht="12.8" hidden="false" customHeight="false" outlineLevel="0" collapsed="false">
      <c r="A6" s="27" t="s">
        <v>34</v>
      </c>
      <c r="B6" s="28" t="n">
        <f aca="false">+B4-B5</f>
        <v>2404765</v>
      </c>
      <c r="C6" s="28" t="n">
        <f aca="false">+C4-C5</f>
        <v>611036</v>
      </c>
      <c r="D6" s="28" t="n">
        <f aca="false">+D4-D5</f>
        <v>595716</v>
      </c>
      <c r="E6" s="28" t="n">
        <f aca="false">+E4-E5</f>
        <v>609364</v>
      </c>
      <c r="F6" s="28" t="n">
        <f aca="false">+F4-F5</f>
        <v>604439</v>
      </c>
      <c r="G6" s="29" t="n">
        <f aca="false">SUM(C6:F6)</f>
        <v>2420555</v>
      </c>
      <c r="H6" s="28" t="n">
        <f aca="false">+H4-H5</f>
        <v>576273</v>
      </c>
      <c r="I6" s="28" t="n">
        <f aca="false">+I4-I5</f>
        <v>603993</v>
      </c>
      <c r="J6" s="28" t="n">
        <f aca="false">+J4-J5</f>
        <v>1360426</v>
      </c>
      <c r="K6" s="28" t="n">
        <f aca="false">+K4-K5</f>
        <v>-84940</v>
      </c>
      <c r="L6" s="29" t="n">
        <f aca="false">SUM(H6:K6)</f>
        <v>2455752</v>
      </c>
      <c r="M6" s="28" t="n">
        <f aca="false">+M4-M5</f>
        <v>631865</v>
      </c>
      <c r="N6" s="21"/>
      <c r="O6" s="28" t="n">
        <f aca="false">+O4-O5</f>
        <v>2404765</v>
      </c>
      <c r="P6" s="30" t="n">
        <f aca="false">G6</f>
        <v>2420555</v>
      </c>
      <c r="Q6" s="30" t="n">
        <f aca="false">L6</f>
        <v>2455752</v>
      </c>
      <c r="R6" s="28" t="n">
        <f aca="false">+R4-R5</f>
        <v>2431194.48</v>
      </c>
      <c r="S6" s="28" t="n">
        <f aca="false">+S4-S5</f>
        <v>2406882.5352</v>
      </c>
      <c r="T6" s="28" t="n">
        <f aca="false">+T4-T5</f>
        <v>2382813.709848</v>
      </c>
      <c r="U6" s="28" t="n">
        <f aca="false">+U4-U5</f>
        <v>2358985.57274952</v>
      </c>
      <c r="V6" s="28" t="n">
        <f aca="false">+V4-V5</f>
        <v>2335395.71702202</v>
      </c>
      <c r="W6" s="28" t="n">
        <f aca="false">+W4-W5</f>
        <v>2312041.7598518</v>
      </c>
      <c r="X6" s="28" t="n">
        <f aca="false">+X4-X5</f>
        <v>2288921.34225329</v>
      </c>
      <c r="Y6" s="28" t="n">
        <f aca="false">+Y4-Y5</f>
        <v>2266032.12883075</v>
      </c>
      <c r="Z6" s="28" t="n">
        <f aca="false">+Z4-Z5</f>
        <v>2243371.80754245</v>
      </c>
      <c r="AA6" s="28" t="n">
        <f aca="false">+AA4-AA5</f>
        <v>2220938.08946702</v>
      </c>
      <c r="AB6" s="28" t="n">
        <f aca="false">+AB4-AB5</f>
        <v>2198728.70857235</v>
      </c>
    </row>
    <row r="7" customFormat="false" ht="12.8" hidden="false" customHeight="false" outlineLevel="0" collapsed="false">
      <c r="A7" s="0" t="s">
        <v>35</v>
      </c>
      <c r="B7" s="25" t="n">
        <v>1438910</v>
      </c>
      <c r="C7" s="25" t="n">
        <v>329218</v>
      </c>
      <c r="D7" s="25" t="n">
        <f aca="false">653334-C7</f>
        <v>324116</v>
      </c>
      <c r="E7" s="25" t="n">
        <f aca="false">956261-(D7+C7)</f>
        <v>302927</v>
      </c>
      <c r="F7" s="25" t="n">
        <f aca="false">(1403004)-(E7+D7+C7)</f>
        <v>446743</v>
      </c>
      <c r="G7" s="26" t="n">
        <f aca="false">SUM(C7:F7)</f>
        <v>1403004</v>
      </c>
      <c r="H7" s="25" t="n">
        <v>363007</v>
      </c>
      <c r="I7" s="25" t="n">
        <f aca="false">785787-H7</f>
        <v>422780</v>
      </c>
      <c r="J7" s="25" t="n">
        <f aca="false">1153575-(I7+H7)</f>
        <v>367788</v>
      </c>
      <c r="K7" s="25" t="n">
        <f aca="false">(1403004)-(J7+I7+H7)</f>
        <v>249429</v>
      </c>
      <c r="L7" s="26" t="n">
        <f aca="false">SUM(H7:K7)</f>
        <v>1403004</v>
      </c>
      <c r="M7" s="25" t="n">
        <v>405226</v>
      </c>
      <c r="N7" s="21"/>
      <c r="O7" s="25" t="n">
        <v>1438910</v>
      </c>
      <c r="P7" s="26" t="n">
        <f aca="false">G7</f>
        <v>1403004</v>
      </c>
      <c r="Q7" s="26" t="n">
        <f aca="false">L7</f>
        <v>1403004</v>
      </c>
      <c r="R7" s="25" t="n">
        <f aca="false">Q7*0.99</f>
        <v>1388973.96</v>
      </c>
      <c r="S7" s="25" t="n">
        <f aca="false">R7*0.99</f>
        <v>1375084.2204</v>
      </c>
      <c r="T7" s="25" t="n">
        <f aca="false">S7*0.99</f>
        <v>1361333.378196</v>
      </c>
      <c r="U7" s="25" t="n">
        <f aca="false">T7*0.99</f>
        <v>1347720.04441404</v>
      </c>
      <c r="V7" s="25" t="n">
        <f aca="false">U7*0.99</f>
        <v>1334242.8439699</v>
      </c>
      <c r="W7" s="25" t="n">
        <f aca="false">V7*0.99</f>
        <v>1320900.4155302</v>
      </c>
      <c r="X7" s="25" t="n">
        <f aca="false">W7*0.99</f>
        <v>1307691.4113749</v>
      </c>
      <c r="Y7" s="25" t="n">
        <f aca="false">X7*0.99</f>
        <v>1294614.49726115</v>
      </c>
      <c r="Z7" s="25" t="n">
        <f aca="false">Y7*0.99</f>
        <v>1281668.35228854</v>
      </c>
      <c r="AA7" s="25" t="n">
        <f aca="false">Z7*0.99</f>
        <v>1268851.66876565</v>
      </c>
      <c r="AB7" s="25" t="n">
        <f aca="false">AA7*0.99</f>
        <v>1256163.152078</v>
      </c>
    </row>
    <row r="8" customFormat="false" ht="12.8" hidden="false" customHeight="false" outlineLevel="0" collapsed="false">
      <c r="A8" s="31" t="s">
        <v>36</v>
      </c>
      <c r="B8" s="25" t="n">
        <v>439620</v>
      </c>
      <c r="C8" s="25" t="n">
        <v>103604</v>
      </c>
      <c r="D8" s="25" t="n">
        <f aca="false">203994-C8</f>
        <v>100390</v>
      </c>
      <c r="E8" s="25" t="n">
        <f aca="false">315569-(D8+C8)</f>
        <v>111575</v>
      </c>
      <c r="F8" s="25" t="n">
        <f aca="false">(445967)-(E8+D8+C8)</f>
        <v>130398</v>
      </c>
      <c r="G8" s="26" t="n">
        <f aca="false">SUM(C8:F8)</f>
        <v>445967</v>
      </c>
      <c r="H8" s="25" t="n">
        <v>121909</v>
      </c>
      <c r="I8" s="25" t="n">
        <f aca="false">263113-H8</f>
        <v>141204</v>
      </c>
      <c r="J8" s="25" t="n">
        <f aca="false">407841-(I8+H8)</f>
        <v>144728</v>
      </c>
      <c r="K8" s="25" t="n">
        <f aca="false">(445967)-(J8+I8+H8)</f>
        <v>38126</v>
      </c>
      <c r="L8" s="26" t="n">
        <f aca="false">SUM(H8:K8)</f>
        <v>445967</v>
      </c>
      <c r="M8" s="25" t="n">
        <v>154385</v>
      </c>
      <c r="N8" s="21"/>
      <c r="O8" s="25" t="n">
        <v>439620</v>
      </c>
      <c r="P8" s="26" t="n">
        <f aca="false">G8</f>
        <v>445967</v>
      </c>
      <c r="Q8" s="26" t="n">
        <f aca="false">L8</f>
        <v>445967</v>
      </c>
      <c r="R8" s="25" t="n">
        <f aca="false">Q8*0.99</f>
        <v>441507.33</v>
      </c>
      <c r="S8" s="25" t="n">
        <f aca="false">R8*0.99</f>
        <v>437092.2567</v>
      </c>
      <c r="T8" s="25" t="n">
        <f aca="false">S8*0.99</f>
        <v>432721.334133</v>
      </c>
      <c r="U8" s="25" t="n">
        <f aca="false">T8*0.99</f>
        <v>428394.12079167</v>
      </c>
      <c r="V8" s="25" t="n">
        <f aca="false">U8*0.99</f>
        <v>424110.179583753</v>
      </c>
      <c r="W8" s="25" t="n">
        <f aca="false">V8*0.99</f>
        <v>419869.077787916</v>
      </c>
      <c r="X8" s="25" t="n">
        <f aca="false">W8*0.99</f>
        <v>415670.387010037</v>
      </c>
      <c r="Y8" s="25" t="n">
        <f aca="false">X8*0.99</f>
        <v>411513.683139936</v>
      </c>
      <c r="Z8" s="25" t="n">
        <f aca="false">Y8*0.99</f>
        <v>407398.546308537</v>
      </c>
      <c r="AA8" s="25" t="n">
        <f aca="false">Z8*0.99</f>
        <v>403324.560845452</v>
      </c>
      <c r="AB8" s="25" t="n">
        <f aca="false">AA8*0.99</f>
        <v>399291.315236997</v>
      </c>
    </row>
    <row r="9" customFormat="false" ht="12.8" hidden="false" customHeight="false" outlineLevel="0" collapsed="false">
      <c r="A9" s="32" t="s">
        <v>37</v>
      </c>
      <c r="B9" s="28" t="n">
        <f aca="false">+B7-B8</f>
        <v>999290</v>
      </c>
      <c r="C9" s="28" t="n">
        <f aca="false">+C7-C8</f>
        <v>225614</v>
      </c>
      <c r="D9" s="28" t="n">
        <f aca="false">+D7-D8</f>
        <v>223726</v>
      </c>
      <c r="E9" s="28" t="n">
        <f aca="false">+E7-E8</f>
        <v>191352</v>
      </c>
      <c r="F9" s="28" t="n">
        <f aca="false">+F7-F8</f>
        <v>316345</v>
      </c>
      <c r="G9" s="29" t="n">
        <f aca="false">SUM(C9:F9)</f>
        <v>957037</v>
      </c>
      <c r="H9" s="28" t="n">
        <f aca="false">+H7-H8</f>
        <v>241098</v>
      </c>
      <c r="I9" s="28" t="n">
        <f aca="false">+I7-I8</f>
        <v>281576</v>
      </c>
      <c r="J9" s="28" t="n">
        <f aca="false">+J7-J8</f>
        <v>223060</v>
      </c>
      <c r="K9" s="28" t="n">
        <f aca="false">+K7-K8</f>
        <v>211303</v>
      </c>
      <c r="L9" s="29" t="n">
        <f aca="false">SUM(H9:K9)</f>
        <v>957037</v>
      </c>
      <c r="M9" s="28" t="n">
        <f aca="false">+M7-M8</f>
        <v>250841</v>
      </c>
      <c r="N9" s="21"/>
      <c r="O9" s="28" t="n">
        <f aca="false">+O7-O8</f>
        <v>999290</v>
      </c>
      <c r="P9" s="30" t="n">
        <f aca="false">G9</f>
        <v>957037</v>
      </c>
      <c r="Q9" s="30" t="n">
        <f aca="false">L9</f>
        <v>957037</v>
      </c>
      <c r="R9" s="28" t="n">
        <f aca="false">+R7-R8</f>
        <v>947466.63</v>
      </c>
      <c r="S9" s="28" t="n">
        <f aca="false">+S7-S8</f>
        <v>937991.9637</v>
      </c>
      <c r="T9" s="28" t="n">
        <f aca="false">+T7-T8</f>
        <v>928612.044063</v>
      </c>
      <c r="U9" s="28" t="n">
        <f aca="false">+U7-U8</f>
        <v>919325.92362237</v>
      </c>
      <c r="V9" s="28" t="n">
        <f aca="false">+V7-V8</f>
        <v>910132.664386146</v>
      </c>
      <c r="W9" s="28" t="n">
        <f aca="false">+W7-W8</f>
        <v>901031.337742285</v>
      </c>
      <c r="X9" s="28" t="n">
        <f aca="false">+X7-X8</f>
        <v>892021.024364862</v>
      </c>
      <c r="Y9" s="28" t="n">
        <f aca="false">+Y7-Y8</f>
        <v>883100.814121213</v>
      </c>
      <c r="Z9" s="28" t="n">
        <f aca="false">+Z7-Z8</f>
        <v>874269.805980001</v>
      </c>
      <c r="AA9" s="28" t="n">
        <f aca="false">+AA7-AA8</f>
        <v>865527.107920201</v>
      </c>
      <c r="AB9" s="28" t="n">
        <f aca="false">+AB7-AB8</f>
        <v>856871.836840999</v>
      </c>
    </row>
    <row r="10" customFormat="false" ht="12.8" hidden="false" customHeight="false" outlineLevel="0" collapsed="false">
      <c r="A10" s="0" t="s">
        <v>38</v>
      </c>
      <c r="B10" s="25" t="n">
        <v>15075</v>
      </c>
      <c r="C10" s="25" t="n">
        <v>-5540</v>
      </c>
      <c r="D10" s="25" t="n">
        <f aca="false">834-C10</f>
        <v>6374</v>
      </c>
      <c r="E10" s="25" t="n">
        <f aca="false">1915-(D10+C10)</f>
        <v>1081</v>
      </c>
      <c r="F10" s="25" t="n">
        <f aca="false">(4529)-(E10+D10+C10)</f>
        <v>2614</v>
      </c>
      <c r="G10" s="26" t="n">
        <f aca="false">SUM(C10:F10)</f>
        <v>4529</v>
      </c>
      <c r="H10" s="25" t="n">
        <v>3803</v>
      </c>
      <c r="I10" s="25" t="n">
        <f aca="false">6651-H10</f>
        <v>2848</v>
      </c>
      <c r="J10" s="25" t="n">
        <f aca="false">12720-(I10+H10)</f>
        <v>6069</v>
      </c>
      <c r="K10" s="25" t="n">
        <f aca="false">(4529)-(J10+I10+H10)</f>
        <v>-8191</v>
      </c>
      <c r="L10" s="26" t="n">
        <f aca="false">SUM(H10:K10)</f>
        <v>4529</v>
      </c>
      <c r="M10" s="25" t="n">
        <v>4063</v>
      </c>
      <c r="N10" s="21"/>
      <c r="O10" s="25" t="n">
        <v>15075</v>
      </c>
      <c r="P10" s="26" t="n">
        <f aca="false">G10</f>
        <v>4529</v>
      </c>
      <c r="Q10" s="26" t="n">
        <f aca="false">L10</f>
        <v>4529</v>
      </c>
      <c r="R10" s="25" t="n">
        <f aca="false">Q10*0.99</f>
        <v>4483.71</v>
      </c>
      <c r="S10" s="25" t="n">
        <f aca="false">R10*0.99</f>
        <v>4438.8729</v>
      </c>
      <c r="T10" s="25" t="n">
        <f aca="false">S10*0.99</f>
        <v>4394.484171</v>
      </c>
      <c r="U10" s="25" t="n">
        <f aca="false">T10*0.99</f>
        <v>4350.53932929</v>
      </c>
      <c r="V10" s="25" t="n">
        <f aca="false">U10*0.99</f>
        <v>4307.0339359971</v>
      </c>
      <c r="W10" s="25" t="n">
        <f aca="false">V10*0.99</f>
        <v>4263.96359663713</v>
      </c>
      <c r="X10" s="25" t="n">
        <f aca="false">W10*0.99</f>
        <v>4221.32396067076</v>
      </c>
      <c r="Y10" s="25" t="n">
        <f aca="false">X10*0.99</f>
        <v>4179.11072106405</v>
      </c>
      <c r="Z10" s="25" t="n">
        <f aca="false">Y10*0.99</f>
        <v>4137.31961385341</v>
      </c>
      <c r="AA10" s="25" t="n">
        <f aca="false">Z10*0.99</f>
        <v>4095.94641771488</v>
      </c>
      <c r="AB10" s="25" t="n">
        <f aca="false">AA10*0.99</f>
        <v>4054.98695353773</v>
      </c>
    </row>
    <row r="11" customFormat="false" ht="12.8" hidden="false" customHeight="false" outlineLevel="0" collapsed="false">
      <c r="A11" s="0" t="s">
        <v>39</v>
      </c>
      <c r="B11" s="25" t="n">
        <v>0</v>
      </c>
      <c r="C11" s="25" t="n">
        <v>393</v>
      </c>
      <c r="D11" s="25" t="n">
        <f aca="false">+2402-C11</f>
        <v>2009</v>
      </c>
      <c r="E11" s="25" t="n">
        <f aca="false">3636-(D11+C11)</f>
        <v>1234</v>
      </c>
      <c r="F11" s="25" t="n">
        <f aca="false">(5262)-(E11+D11+C11)</f>
        <v>1626</v>
      </c>
      <c r="G11" s="26" t="n">
        <f aca="false">SUM(C11:F11)</f>
        <v>5262</v>
      </c>
      <c r="H11" s="25" t="n">
        <v>1512</v>
      </c>
      <c r="I11" s="25" t="n">
        <f aca="false">3363-H11</f>
        <v>1851</v>
      </c>
      <c r="J11" s="25" t="n">
        <f aca="false">4703-(I11+H11)</f>
        <v>1340</v>
      </c>
      <c r="K11" s="25" t="n">
        <f aca="false">(5262)-(J11+I11+H11)</f>
        <v>559</v>
      </c>
      <c r="L11" s="26" t="n">
        <f aca="false">SUM(H11:K11)</f>
        <v>5262</v>
      </c>
      <c r="M11" s="25" t="n">
        <v>1141</v>
      </c>
      <c r="N11" s="21"/>
      <c r="O11" s="25" t="n">
        <v>0</v>
      </c>
      <c r="P11" s="26" t="n">
        <f aca="false">G11</f>
        <v>5262</v>
      </c>
      <c r="Q11" s="26" t="n">
        <f aca="false">L11</f>
        <v>5262</v>
      </c>
      <c r="R11" s="25" t="n">
        <f aca="false">Q11*0.99</f>
        <v>5209.38</v>
      </c>
      <c r="S11" s="25" t="n">
        <f aca="false">R11*0.99</f>
        <v>5157.2862</v>
      </c>
      <c r="T11" s="25" t="n">
        <f aca="false">S11*0.99</f>
        <v>5105.713338</v>
      </c>
      <c r="U11" s="25" t="n">
        <f aca="false">T11*0.99</f>
        <v>5054.65620462</v>
      </c>
      <c r="V11" s="25" t="n">
        <f aca="false">U11*0.99</f>
        <v>5004.1096425738</v>
      </c>
      <c r="W11" s="25" t="n">
        <f aca="false">V11*0.99</f>
        <v>4954.06854614806</v>
      </c>
      <c r="X11" s="25" t="n">
        <f aca="false">W11*0.99</f>
        <v>4904.52786068658</v>
      </c>
      <c r="Y11" s="25" t="n">
        <f aca="false">X11*0.99</f>
        <v>4855.48258207972</v>
      </c>
      <c r="Z11" s="25" t="n">
        <f aca="false">Y11*0.99</f>
        <v>4806.92775625892</v>
      </c>
      <c r="AA11" s="25" t="n">
        <f aca="false">Z11*0.99</f>
        <v>4758.85847869633</v>
      </c>
      <c r="AB11" s="25" t="n">
        <f aca="false">AA11*0.99</f>
        <v>4711.26989390937</v>
      </c>
    </row>
    <row r="12" customFormat="false" ht="12.8" hidden="false" customHeight="false" outlineLevel="0" collapsed="false">
      <c r="A12" s="0" t="s">
        <v>40</v>
      </c>
      <c r="B12" s="25" t="n">
        <v>7364</v>
      </c>
      <c r="C12" s="25" t="n">
        <v>43518</v>
      </c>
      <c r="D12" s="25" t="n">
        <f aca="false">80736-C12</f>
        <v>37218</v>
      </c>
      <c r="E12" s="25" t="n">
        <f aca="false">119849-(D12+C12)</f>
        <v>39113</v>
      </c>
      <c r="F12" s="25" t="n">
        <f aca="false">(165074)-(E12+D12+C12)</f>
        <v>45225</v>
      </c>
      <c r="G12" s="26" t="n">
        <f aca="false">SUM(C12:F12)</f>
        <v>165074</v>
      </c>
      <c r="H12" s="25" t="n">
        <v>41861</v>
      </c>
      <c r="I12" s="25" t="n">
        <f aca="false">82026-H12</f>
        <v>40165</v>
      </c>
      <c r="J12" s="25" t="n">
        <f aca="false">133698-(I12+H12)</f>
        <v>51672</v>
      </c>
      <c r="K12" s="25" t="n">
        <f aca="false">(165074)-(J12+I12+H12)</f>
        <v>31376</v>
      </c>
      <c r="L12" s="26" t="n">
        <f aca="false">SUM(H12:K12)</f>
        <v>165074</v>
      </c>
      <c r="M12" s="25" t="n">
        <v>57295</v>
      </c>
      <c r="N12" s="21"/>
      <c r="O12" s="25" t="n">
        <v>7364</v>
      </c>
      <c r="P12" s="26" t="n">
        <f aca="false">G12</f>
        <v>165074</v>
      </c>
      <c r="Q12" s="26" t="n">
        <f aca="false">L12</f>
        <v>165074</v>
      </c>
      <c r="R12" s="25" t="n">
        <f aca="false">Q12*0.99</f>
        <v>163423.26</v>
      </c>
      <c r="S12" s="25" t="n">
        <f aca="false">R12*0.99</f>
        <v>161789.0274</v>
      </c>
      <c r="T12" s="25" t="n">
        <f aca="false">S12*0.99</f>
        <v>160171.137126</v>
      </c>
      <c r="U12" s="25" t="n">
        <f aca="false">T12*0.99</f>
        <v>158569.42575474</v>
      </c>
      <c r="V12" s="25" t="n">
        <f aca="false">U12*0.99</f>
        <v>156983.731497193</v>
      </c>
      <c r="W12" s="25" t="n">
        <f aca="false">V12*0.99</f>
        <v>155413.894182221</v>
      </c>
      <c r="X12" s="25" t="n">
        <f aca="false">W12*0.99</f>
        <v>153859.755240399</v>
      </c>
      <c r="Y12" s="25" t="n">
        <f aca="false">X12*0.99</f>
        <v>152321.157687995</v>
      </c>
      <c r="Z12" s="25" t="n">
        <f aca="false">Y12*0.99</f>
        <v>150797.946111115</v>
      </c>
      <c r="AA12" s="25" t="n">
        <f aca="false">Z12*0.99</f>
        <v>149289.966650003</v>
      </c>
      <c r="AB12" s="25" t="n">
        <f aca="false">AA12*0.99</f>
        <v>147797.066983503</v>
      </c>
    </row>
    <row r="13" customFormat="false" ht="12.8" hidden="false" customHeight="false" outlineLevel="0" collapsed="false">
      <c r="A13" s="33" t="s">
        <v>41</v>
      </c>
      <c r="B13" s="28" t="n">
        <f aca="false">SUM(B10:B12)</f>
        <v>22439</v>
      </c>
      <c r="C13" s="28" t="n">
        <f aca="false">SUM(C10:C12)</f>
        <v>38371</v>
      </c>
      <c r="D13" s="28" t="n">
        <f aca="false">SUM(D10:D12)</f>
        <v>45601</v>
      </c>
      <c r="E13" s="28" t="n">
        <f aca="false">SUM(E10:E12)</f>
        <v>41428</v>
      </c>
      <c r="F13" s="28" t="n">
        <f aca="false">SUM(F10:F12)</f>
        <v>49465</v>
      </c>
      <c r="G13" s="28" t="n">
        <f aca="false">SUM(G10:G12)</f>
        <v>174865</v>
      </c>
      <c r="H13" s="28" t="n">
        <f aca="false">SUM(H10:H12)</f>
        <v>47176</v>
      </c>
      <c r="I13" s="28" t="n">
        <f aca="false">SUM(I10:I12)</f>
        <v>44864</v>
      </c>
      <c r="J13" s="28" t="n">
        <f aca="false">SUM(J10:J12)</f>
        <v>59081</v>
      </c>
      <c r="K13" s="28" t="n">
        <f aca="false">SUM(K10:K12)</f>
        <v>23744</v>
      </c>
      <c r="L13" s="28" t="n">
        <f aca="false">SUM(L10:L12)</f>
        <v>174865</v>
      </c>
      <c r="M13" s="28" t="n">
        <f aca="false">SUM(M10:M12)</f>
        <v>62499</v>
      </c>
      <c r="N13" s="21"/>
      <c r="O13" s="28" t="n">
        <f aca="false">SUM(O10:O12)</f>
        <v>22439</v>
      </c>
      <c r="P13" s="30" t="n">
        <f aca="false">G13</f>
        <v>174865</v>
      </c>
      <c r="Q13" s="30" t="n">
        <f aca="false">L13</f>
        <v>174865</v>
      </c>
      <c r="R13" s="28" t="n">
        <f aca="false">SUM(R10:R12)</f>
        <v>173116.35</v>
      </c>
      <c r="S13" s="28" t="n">
        <f aca="false">SUM(S10:S12)</f>
        <v>171385.1865</v>
      </c>
      <c r="T13" s="28" t="n">
        <f aca="false">SUM(T10:T12)</f>
        <v>169671.334635</v>
      </c>
      <c r="U13" s="28" t="n">
        <f aca="false">SUM(U10:U12)</f>
        <v>167974.62128865</v>
      </c>
      <c r="V13" s="28" t="n">
        <f aca="false">SUM(V10:V12)</f>
        <v>166294.875075764</v>
      </c>
      <c r="W13" s="28" t="n">
        <f aca="false">SUM(W10:W12)</f>
        <v>164631.926325006</v>
      </c>
      <c r="X13" s="28" t="n">
        <f aca="false">SUM(X10:X12)</f>
        <v>162985.607061756</v>
      </c>
      <c r="Y13" s="28" t="n">
        <f aca="false">SUM(Y10:Y12)</f>
        <v>161355.750991138</v>
      </c>
      <c r="Z13" s="28" t="n">
        <f aca="false">SUM(Z10:Z12)</f>
        <v>159742.193481227</v>
      </c>
      <c r="AA13" s="28" t="n">
        <f aca="false">SUM(AA10:AA12)</f>
        <v>158144.771546415</v>
      </c>
      <c r="AB13" s="28" t="n">
        <f aca="false">SUM(AB10:AB12)</f>
        <v>156563.32383095</v>
      </c>
    </row>
    <row r="14" customFormat="false" ht="12.8" hidden="false" customHeight="false" outlineLevel="0" collapsed="false">
      <c r="A14" s="0" t="s">
        <v>42</v>
      </c>
      <c r="B14" s="25" t="n">
        <v>588509</v>
      </c>
      <c r="C14" s="25" t="n">
        <v>378856</v>
      </c>
      <c r="D14" s="25" t="n">
        <f aca="false">1136547-C14</f>
        <v>757691</v>
      </c>
      <c r="E14" s="25" t="n">
        <f aca="false">1251039-(D14+C14)</f>
        <v>114492</v>
      </c>
      <c r="F14" s="25" t="n">
        <f aca="false">(1369749)-(E14+D14+C14)</f>
        <v>118710</v>
      </c>
      <c r="G14" s="26" t="n">
        <f aca="false">SUM(C14:F14)</f>
        <v>1369749</v>
      </c>
      <c r="H14" s="25" t="n">
        <v>283697</v>
      </c>
      <c r="I14" s="25" t="n">
        <f aca="false">700456-H14</f>
        <v>416759</v>
      </c>
      <c r="J14" s="25" t="n">
        <f aca="false">844491-(I14+H14)</f>
        <v>144035</v>
      </c>
      <c r="K14" s="25" t="n">
        <f aca="false">(954594)-(J14+I14+H14)</f>
        <v>110103</v>
      </c>
      <c r="L14" s="26" t="n">
        <f aca="false">SUM(H14:K14)</f>
        <v>954594</v>
      </c>
      <c r="M14" s="25" t="n">
        <v>128824</v>
      </c>
      <c r="N14" s="21"/>
      <c r="O14" s="25" t="n">
        <v>588509</v>
      </c>
      <c r="P14" s="26" t="n">
        <f aca="false">G14</f>
        <v>1369749</v>
      </c>
      <c r="Q14" s="26" t="n">
        <f aca="false">L14</f>
        <v>954594</v>
      </c>
      <c r="R14" s="25" t="n">
        <f aca="false">Q14*0.99</f>
        <v>945048.06</v>
      </c>
      <c r="S14" s="25" t="n">
        <f aca="false">R14*0.99</f>
        <v>935597.5794</v>
      </c>
      <c r="T14" s="25" t="n">
        <f aca="false">S14*0.99</f>
        <v>926241.603606</v>
      </c>
      <c r="U14" s="25" t="n">
        <f aca="false">T14*0.99</f>
        <v>916979.18756994</v>
      </c>
      <c r="V14" s="25" t="n">
        <f aca="false">U14*0.99</f>
        <v>907809.395694241</v>
      </c>
      <c r="W14" s="25" t="n">
        <f aca="false">V14*0.99</f>
        <v>898731.301737298</v>
      </c>
      <c r="X14" s="25" t="n">
        <f aca="false">W14*0.99</f>
        <v>889743.988719925</v>
      </c>
      <c r="Y14" s="25" t="n">
        <f aca="false">X14*0.99</f>
        <v>880846.548832726</v>
      </c>
      <c r="Z14" s="25" t="n">
        <f aca="false">Y14*0.99</f>
        <v>872038.083344399</v>
      </c>
      <c r="AA14" s="25" t="n">
        <f aca="false">Z14*0.99</f>
        <v>863317.702510955</v>
      </c>
      <c r="AB14" s="25" t="n">
        <f aca="false">AA14*0.99</f>
        <v>854684.525485845</v>
      </c>
    </row>
    <row r="15" customFormat="false" ht="12.8" hidden="false" customHeight="false" outlineLevel="0" collapsed="false">
      <c r="A15" s="0" t="s">
        <v>43</v>
      </c>
      <c r="B15" s="25" t="n">
        <v>4513</v>
      </c>
      <c r="C15" s="25" t="n">
        <v>0</v>
      </c>
      <c r="D15" s="25" t="n">
        <f aca="false">0-C15</f>
        <v>0</v>
      </c>
      <c r="E15" s="25" t="n">
        <f aca="false">991-(D15+C15)</f>
        <v>991</v>
      </c>
      <c r="F15" s="25" t="n">
        <f aca="false">(4399)-(E15+D15+C15)</f>
        <v>3408</v>
      </c>
      <c r="G15" s="26" t="n">
        <f aca="false">SUM(C15:F15)</f>
        <v>4399</v>
      </c>
      <c r="H15" s="25" t="n">
        <v>1465</v>
      </c>
      <c r="I15" s="25" t="n">
        <f aca="false">2088-H15</f>
        <v>623</v>
      </c>
      <c r="J15" s="25" t="n">
        <f aca="false">2088-(I15+H15)</f>
        <v>0</v>
      </c>
      <c r="K15" s="25" t="n">
        <f aca="false">(4932)-(J15+I15+H15)</f>
        <v>2844</v>
      </c>
      <c r="L15" s="26" t="n">
        <f aca="false">SUM(H15:K15)</f>
        <v>4932</v>
      </c>
      <c r="M15" s="25" t="n">
        <v>1085</v>
      </c>
      <c r="N15" s="21"/>
      <c r="O15" s="25" t="n">
        <v>4513</v>
      </c>
      <c r="P15" s="26" t="n">
        <f aca="false">G15</f>
        <v>4399</v>
      </c>
      <c r="Q15" s="26" t="n">
        <f aca="false">L15</f>
        <v>4932</v>
      </c>
      <c r="R15" s="25" t="n">
        <f aca="false">Q15*0.99</f>
        <v>4882.68</v>
      </c>
      <c r="S15" s="25" t="n">
        <f aca="false">R15*0.99</f>
        <v>4833.8532</v>
      </c>
      <c r="T15" s="25" t="n">
        <f aca="false">S15*0.99</f>
        <v>4785.514668</v>
      </c>
      <c r="U15" s="25" t="n">
        <f aca="false">T15*0.99</f>
        <v>4737.65952132</v>
      </c>
      <c r="V15" s="25" t="n">
        <f aca="false">U15*0.99</f>
        <v>4690.2829261068</v>
      </c>
      <c r="W15" s="25" t="n">
        <f aca="false">V15*0.99</f>
        <v>4643.38009684573</v>
      </c>
      <c r="X15" s="25" t="n">
        <f aca="false">W15*0.99</f>
        <v>4596.94629587728</v>
      </c>
      <c r="Y15" s="25" t="n">
        <f aca="false">X15*0.99</f>
        <v>4550.9768329185</v>
      </c>
      <c r="Z15" s="25" t="n">
        <f aca="false">Y15*0.99</f>
        <v>4505.46706458932</v>
      </c>
      <c r="AA15" s="25" t="n">
        <f aca="false">Z15*0.99</f>
        <v>4460.41239394342</v>
      </c>
      <c r="AB15" s="25" t="n">
        <f aca="false">AA15*0.99</f>
        <v>4415.80827000399</v>
      </c>
    </row>
    <row r="16" customFormat="false" ht="12.8" hidden="false" customHeight="false" outlineLevel="0" collapsed="false">
      <c r="A16" s="0" t="s">
        <v>44</v>
      </c>
      <c r="B16" s="25" t="n">
        <v>988968</v>
      </c>
      <c r="C16" s="25" t="n">
        <v>195245</v>
      </c>
      <c r="D16" s="25" t="n">
        <f aca="false">439129-C16</f>
        <v>243884</v>
      </c>
      <c r="E16" s="25" t="n">
        <f aca="false">518241-(D16+C16)</f>
        <v>79112</v>
      </c>
      <c r="F16" s="25" t="n">
        <f aca="false">(1035579)-(E16+D16+C16)</f>
        <v>517338</v>
      </c>
      <c r="G16" s="26" t="n">
        <f aca="false">SUM(C16:F16)</f>
        <v>1035579</v>
      </c>
      <c r="H16" s="25" t="n">
        <v>197399</v>
      </c>
      <c r="I16" s="25" t="n">
        <f aca="false">438924-H16</f>
        <v>241525</v>
      </c>
      <c r="J16" s="25" t="n">
        <f aca="false">659546-(I16+H16)</f>
        <v>220622</v>
      </c>
      <c r="K16" s="25" t="n">
        <f aca="false">(1084233)-(J16+I16+H16)</f>
        <v>424687</v>
      </c>
      <c r="L16" s="26" t="n">
        <f aca="false">SUM(H16:K16)</f>
        <v>1084233</v>
      </c>
      <c r="M16" s="25" t="n">
        <v>203374</v>
      </c>
      <c r="N16" s="21"/>
      <c r="O16" s="25" t="n">
        <v>988968</v>
      </c>
      <c r="P16" s="26" t="n">
        <f aca="false">G16</f>
        <v>1035579</v>
      </c>
      <c r="Q16" s="26" t="n">
        <f aca="false">L16</f>
        <v>1084233</v>
      </c>
      <c r="R16" s="25" t="n">
        <f aca="false">Q16*0.99</f>
        <v>1073390.67</v>
      </c>
      <c r="S16" s="25" t="n">
        <f aca="false">R16*0.99</f>
        <v>1062656.7633</v>
      </c>
      <c r="T16" s="25" t="n">
        <f aca="false">S16*0.99</f>
        <v>1052030.195667</v>
      </c>
      <c r="U16" s="25" t="n">
        <f aca="false">T16*0.99</f>
        <v>1041509.89371033</v>
      </c>
      <c r="V16" s="25" t="n">
        <f aca="false">U16*0.99</f>
        <v>1031094.79477323</v>
      </c>
      <c r="W16" s="25" t="n">
        <f aca="false">V16*0.99</f>
        <v>1020783.84682549</v>
      </c>
      <c r="X16" s="25" t="n">
        <f aca="false">W16*0.99</f>
        <v>1010576.00835724</v>
      </c>
      <c r="Y16" s="25" t="n">
        <f aca="false">X16*0.99</f>
        <v>1000470.24827367</v>
      </c>
      <c r="Z16" s="25" t="n">
        <f aca="false">Y16*0.99</f>
        <v>990465.54579093</v>
      </c>
      <c r="AA16" s="25" t="n">
        <f aca="false">Z16*0.99</f>
        <v>980560.890333021</v>
      </c>
      <c r="AB16" s="25" t="n">
        <f aca="false">AA16*0.99</f>
        <v>970755.281429691</v>
      </c>
    </row>
    <row r="17" customFormat="false" ht="12.8" hidden="false" customHeight="false" outlineLevel="0" collapsed="false">
      <c r="A17" s="0" t="s">
        <v>45</v>
      </c>
      <c r="B17" s="34" t="n">
        <f aca="false">+B6+B9+B13-SUM(B14:B16)</f>
        <v>1844504</v>
      </c>
      <c r="C17" s="34" t="n">
        <f aca="false">+C6+C9+C13-SUM(C14:C16)</f>
        <v>300920</v>
      </c>
      <c r="D17" s="34" t="n">
        <f aca="false">+D6+D9+D13-SUM(D14:D16)</f>
        <v>-136532</v>
      </c>
      <c r="E17" s="34" t="n">
        <f aca="false">+E6+E9+E13-SUM(E14:E16)</f>
        <v>647549</v>
      </c>
      <c r="F17" s="34" t="n">
        <f aca="false">+F6+F9+F13-SUM(F14:F16)</f>
        <v>330793</v>
      </c>
      <c r="G17" s="29" t="n">
        <f aca="false">SUM(C17:F17)</f>
        <v>1142730</v>
      </c>
      <c r="H17" s="34" t="n">
        <f aca="false">+H6+H9+H13-SUM(H14:H16)</f>
        <v>381986</v>
      </c>
      <c r="I17" s="34" t="n">
        <f aca="false">+I6+I9+I13-SUM(I14:I16)</f>
        <v>271526</v>
      </c>
      <c r="J17" s="34" t="n">
        <f aca="false">+J6+J9+J13-SUM(J14:J16)</f>
        <v>1277910</v>
      </c>
      <c r="K17" s="34" t="n">
        <f aca="false">+K6+K9+K13-SUM(K14:K16)</f>
        <v>-387527</v>
      </c>
      <c r="L17" s="29" t="n">
        <f aca="false">SUM(H17:K17)</f>
        <v>1543895</v>
      </c>
      <c r="M17" s="34" t="n">
        <f aca="false">+M6+M9+M13-SUM(M14:M16)</f>
        <v>611922</v>
      </c>
      <c r="N17" s="21"/>
      <c r="O17" s="34" t="n">
        <f aca="false">+O6+O9+O13-SUM(O14:O16)</f>
        <v>1844504</v>
      </c>
      <c r="P17" s="30" t="n">
        <f aca="false">G17</f>
        <v>1142730</v>
      </c>
      <c r="Q17" s="30" t="n">
        <f aca="false">L17</f>
        <v>1543895</v>
      </c>
      <c r="R17" s="34" t="n">
        <f aca="false">+R6+R9+R13-SUM(R14:R16)</f>
        <v>1528456.05</v>
      </c>
      <c r="S17" s="34" t="n">
        <f aca="false">+S6+S9+S13-SUM(S14:S16)</f>
        <v>1513171.4895</v>
      </c>
      <c r="T17" s="34" t="n">
        <f aca="false">+T6+T9+T13-SUM(T14:T16)</f>
        <v>1498039.774605</v>
      </c>
      <c r="U17" s="34" t="n">
        <f aca="false">+U6+U9+U13-SUM(U14:U16)</f>
        <v>1483059.37685895</v>
      </c>
      <c r="V17" s="34" t="n">
        <f aca="false">+V6+V9+V13-SUM(V14:V16)</f>
        <v>1468228.78309036</v>
      </c>
      <c r="W17" s="34" t="n">
        <f aca="false">+W6+W9+W13-SUM(W14:W16)</f>
        <v>1453546.49525946</v>
      </c>
      <c r="X17" s="34" t="n">
        <f aca="false">+X6+X9+X13-SUM(X14:X16)</f>
        <v>1439011.03030686</v>
      </c>
      <c r="Y17" s="34" t="n">
        <f aca="false">+Y6+Y9+Y13-SUM(Y14:Y16)</f>
        <v>1424620.92000379</v>
      </c>
      <c r="Z17" s="34" t="n">
        <f aca="false">+Z6+Z9+Z13-SUM(Z14:Z16)</f>
        <v>1410374.71080376</v>
      </c>
      <c r="AA17" s="34" t="n">
        <f aca="false">+AA6+AA9+AA13-SUM(AA14:AA16)</f>
        <v>1396270.96369572</v>
      </c>
      <c r="AB17" s="34" t="n">
        <f aca="false">+AB6+AB9+AB13-SUM(AB14:AB16)</f>
        <v>1382308.25405876</v>
      </c>
    </row>
    <row r="18" customFormat="false" ht="12.8" hidden="false" customHeight="false" outlineLevel="0" collapsed="false">
      <c r="A18" s="35" t="s">
        <v>46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21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customFormat="false" ht="12.8" hidden="false" customHeight="false" outlineLevel="0" collapsed="false">
      <c r="A19" s="36" t="s">
        <v>47</v>
      </c>
      <c r="B19" s="25" t="n">
        <f aca="false">60816</f>
        <v>60816</v>
      </c>
      <c r="C19" s="25" t="n">
        <v>0</v>
      </c>
      <c r="D19" s="25" t="n">
        <f aca="false">0-C19</f>
        <v>0</v>
      </c>
      <c r="E19" s="25" t="n">
        <f aca="false">0-(D19+C19)</f>
        <v>0</v>
      </c>
      <c r="F19" s="25" t="n">
        <f aca="false">(67614)-(E19+D19+C19)</f>
        <v>67614</v>
      </c>
      <c r="G19" s="26" t="n">
        <f aca="false">SUM(C19:F19)</f>
        <v>67614</v>
      </c>
      <c r="H19" s="25" t="n">
        <v>0</v>
      </c>
      <c r="I19" s="25" t="n">
        <f aca="false">0-H19</f>
        <v>0</v>
      </c>
      <c r="J19" s="25" t="n">
        <f aca="false">40477-(I19+H19)</f>
        <v>40477</v>
      </c>
      <c r="K19" s="25" t="n">
        <f aca="false">(79103-0)-(J19+I19+H19)</f>
        <v>38626</v>
      </c>
      <c r="L19" s="26" t="n">
        <f aca="false">SUM(H19:K19)</f>
        <v>79103</v>
      </c>
      <c r="M19" s="25" t="n">
        <v>0</v>
      </c>
      <c r="N19" s="21"/>
      <c r="O19" s="25" t="n">
        <f aca="false">60816</f>
        <v>60816</v>
      </c>
      <c r="P19" s="26" t="n">
        <f aca="false">SUM(L19:O19)</f>
        <v>139919</v>
      </c>
      <c r="Q19" s="26" t="n">
        <f aca="false">L19</f>
        <v>79103</v>
      </c>
      <c r="R19" s="25" t="n">
        <f aca="false">Q19*0.99</f>
        <v>78311.97</v>
      </c>
      <c r="S19" s="25" t="n">
        <f aca="false">R19*0.99</f>
        <v>77528.8503</v>
      </c>
      <c r="T19" s="25" t="n">
        <f aca="false">S19*0.99</f>
        <v>76753.561797</v>
      </c>
      <c r="U19" s="25" t="n">
        <f aca="false">T19*0.99</f>
        <v>75986.02617903</v>
      </c>
      <c r="V19" s="25" t="n">
        <f aca="false">U19*0.99</f>
        <v>75226.1659172397</v>
      </c>
      <c r="W19" s="25" t="n">
        <f aca="false">V19*0.99</f>
        <v>74473.9042580673</v>
      </c>
      <c r="X19" s="25" t="n">
        <f aca="false">W19*0.99</f>
        <v>73729.1652154866</v>
      </c>
      <c r="Y19" s="25" t="n">
        <f aca="false">X19*0.99</f>
        <v>72991.8735633318</v>
      </c>
      <c r="Z19" s="25" t="n">
        <f aca="false">Y19*0.99</f>
        <v>72261.9548276985</v>
      </c>
      <c r="AA19" s="25" t="n">
        <f aca="false">Z19*0.99</f>
        <v>71539.3352794215</v>
      </c>
      <c r="AB19" s="25" t="n">
        <f aca="false">AA19*0.99</f>
        <v>70823.9419266273</v>
      </c>
    </row>
    <row r="20" customFormat="false" ht="12.8" hidden="false" customHeight="false" outlineLevel="0" collapsed="false">
      <c r="A20" s="37" t="s">
        <v>48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1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customFormat="false" ht="12.8" hidden="false" customHeight="false" outlineLevel="0" collapsed="false">
      <c r="A21" s="0" t="s">
        <v>49</v>
      </c>
      <c r="B21" s="25" t="n">
        <v>802822</v>
      </c>
      <c r="C21" s="25" t="n">
        <v>142444</v>
      </c>
      <c r="D21" s="25" t="n">
        <f aca="false">1025263-C21</f>
        <v>882819</v>
      </c>
      <c r="E21" s="25" t="n">
        <f aca="false">1251039-(D21+C21)</f>
        <v>225776</v>
      </c>
      <c r="F21" s="25" t="n">
        <f aca="false">(1812416)-(E21+D21+C21)</f>
        <v>561377</v>
      </c>
      <c r="G21" s="26" t="n">
        <f aca="false">SUM(C21:F21)</f>
        <v>1812416</v>
      </c>
      <c r="H21" s="25" t="n">
        <v>187672</v>
      </c>
      <c r="I21" s="25" t="n">
        <v>633788</v>
      </c>
      <c r="J21" s="25" t="n">
        <f aca="false">756448-(I21+H21)</f>
        <v>-65012</v>
      </c>
      <c r="K21" s="25" t="n">
        <f aca="false">1701629-(J22+I22+H22)</f>
        <v>1161591</v>
      </c>
      <c r="L21" s="26" t="n">
        <f aca="false">SUM(H21:K21)</f>
        <v>1918039</v>
      </c>
      <c r="M21" s="25" t="n">
        <v>186931</v>
      </c>
      <c r="N21" s="21"/>
      <c r="O21" s="25" t="n">
        <v>802822</v>
      </c>
      <c r="P21" s="26" t="n">
        <f aca="false">G21</f>
        <v>1812416</v>
      </c>
      <c r="Q21" s="26" t="n">
        <f aca="false">L21</f>
        <v>1918039</v>
      </c>
      <c r="R21" s="25" t="n">
        <f aca="false">Q21*0.99</f>
        <v>1898858.61</v>
      </c>
      <c r="S21" s="25" t="n">
        <f aca="false">R21*0.99</f>
        <v>1879870.0239</v>
      </c>
      <c r="T21" s="25" t="n">
        <f aca="false">S21*0.99</f>
        <v>1861071.323661</v>
      </c>
      <c r="U21" s="25" t="n">
        <f aca="false">T21*0.99</f>
        <v>1842460.61042439</v>
      </c>
      <c r="V21" s="25" t="n">
        <f aca="false">U21*0.99</f>
        <v>1824036.00432015</v>
      </c>
      <c r="W21" s="25" t="n">
        <f aca="false">V21*0.99</f>
        <v>1805795.64427694</v>
      </c>
      <c r="X21" s="25" t="n">
        <f aca="false">W21*0.99</f>
        <v>1787737.68783418</v>
      </c>
      <c r="Y21" s="25" t="n">
        <f aca="false">X21*0.99</f>
        <v>1769860.31095583</v>
      </c>
      <c r="Z21" s="25" t="n">
        <f aca="false">Y21*0.99</f>
        <v>1752161.70784628</v>
      </c>
      <c r="AA21" s="25" t="n">
        <f aca="false">Z21*0.99</f>
        <v>1734640.09076781</v>
      </c>
      <c r="AB21" s="25" t="n">
        <f aca="false">AA21*0.99</f>
        <v>1717293.68986013</v>
      </c>
    </row>
    <row r="22" customFormat="false" ht="12.8" hidden="false" customHeight="false" outlineLevel="0" collapsed="false">
      <c r="A22" s="0" t="s">
        <v>50</v>
      </c>
      <c r="B22" s="25" t="n">
        <v>651268</v>
      </c>
      <c r="C22" s="25" t="n">
        <v>183835</v>
      </c>
      <c r="D22" s="25" t="n">
        <f aca="false">(364034)-C22</f>
        <v>180199</v>
      </c>
      <c r="E22" s="25" t="n">
        <f aca="false">(518241)-(D22+C22)</f>
        <v>154207</v>
      </c>
      <c r="F22" s="25" t="n">
        <f aca="false">(748318)-(E22+D22+C22)</f>
        <v>230077</v>
      </c>
      <c r="G22" s="26" t="n">
        <f aca="false">SUM(C22:F22)</f>
        <v>748318</v>
      </c>
      <c r="H22" s="25" t="n">
        <v>163346</v>
      </c>
      <c r="I22" s="25" t="n">
        <f aca="false">(438924)-H22</f>
        <v>275578</v>
      </c>
      <c r="J22" s="25" t="n">
        <f aca="false">(540038)-(I22+H22)</f>
        <v>101114</v>
      </c>
      <c r="K22" s="25" t="n">
        <f aca="false">(806186)-(J22+I22+H22)</f>
        <v>266148</v>
      </c>
      <c r="L22" s="26" t="n">
        <f aca="false">SUM(H22:K22)</f>
        <v>806186</v>
      </c>
      <c r="M22" s="25" t="n">
        <v>215650</v>
      </c>
      <c r="N22" s="21"/>
      <c r="O22" s="25" t="n">
        <v>651268</v>
      </c>
      <c r="P22" s="26" t="n">
        <f aca="false">G22</f>
        <v>748318</v>
      </c>
      <c r="Q22" s="26" t="n">
        <f aca="false">L22</f>
        <v>806186</v>
      </c>
      <c r="R22" s="25" t="n">
        <f aca="false">Q22*0.99</f>
        <v>798124.14</v>
      </c>
      <c r="S22" s="25" t="n">
        <f aca="false">R22*0.99</f>
        <v>790142.8986</v>
      </c>
      <c r="T22" s="25" t="n">
        <f aca="false">S22*0.99</f>
        <v>782241.469614</v>
      </c>
      <c r="U22" s="25" t="n">
        <f aca="false">T22*0.99</f>
        <v>774419.05491786</v>
      </c>
      <c r="V22" s="25" t="n">
        <f aca="false">U22*0.99</f>
        <v>766674.864368681</v>
      </c>
      <c r="W22" s="25" t="n">
        <f aca="false">V22*0.99</f>
        <v>759008.115724995</v>
      </c>
      <c r="X22" s="25" t="n">
        <f aca="false">W22*0.99</f>
        <v>751418.034567745</v>
      </c>
      <c r="Y22" s="25" t="n">
        <f aca="false">X22*0.99</f>
        <v>743903.854222067</v>
      </c>
      <c r="Z22" s="25" t="n">
        <f aca="false">Y22*0.99</f>
        <v>736464.815679847</v>
      </c>
      <c r="AA22" s="25" t="n">
        <f aca="false">Z22*0.99</f>
        <v>729100.167523048</v>
      </c>
      <c r="AB22" s="25" t="n">
        <f aca="false">AA22*0.99</f>
        <v>721809.165847818</v>
      </c>
    </row>
    <row r="23" customFormat="false" ht="12.8" hidden="false" customHeight="false" outlineLevel="0" collapsed="false">
      <c r="A23" s="38" t="s">
        <v>51</v>
      </c>
      <c r="B23" s="28" t="n">
        <f aca="false">B21-B22</f>
        <v>151554</v>
      </c>
      <c r="C23" s="28" t="n">
        <f aca="false">C21-C22</f>
        <v>-41391</v>
      </c>
      <c r="D23" s="28" t="n">
        <f aca="false">+D21-D22</f>
        <v>702620</v>
      </c>
      <c r="E23" s="28" t="n">
        <f aca="false">+E21-E22</f>
        <v>71569</v>
      </c>
      <c r="F23" s="28" t="n">
        <f aca="false">+F21-F22</f>
        <v>331300</v>
      </c>
      <c r="G23" s="29" t="n">
        <f aca="false">SUM(C23:F23)</f>
        <v>1064098</v>
      </c>
      <c r="H23" s="28" t="n">
        <f aca="false">+H21-H22</f>
        <v>24326</v>
      </c>
      <c r="I23" s="28" t="n">
        <f aca="false">+I21-I22</f>
        <v>358210</v>
      </c>
      <c r="J23" s="28" t="n">
        <f aca="false">+J21-J22</f>
        <v>-166126</v>
      </c>
      <c r="K23" s="28" t="n">
        <f aca="false">+K21-K22</f>
        <v>895443</v>
      </c>
      <c r="L23" s="29" t="n">
        <f aca="false">SUM(H23:K23)</f>
        <v>1111853</v>
      </c>
      <c r="M23" s="28" t="n">
        <f aca="false">+M21-M22</f>
        <v>-28719</v>
      </c>
      <c r="N23" s="21"/>
      <c r="O23" s="28" t="n">
        <f aca="false">O21-O22</f>
        <v>151554</v>
      </c>
      <c r="P23" s="30" t="n">
        <f aca="false">G23</f>
        <v>1064098</v>
      </c>
      <c r="Q23" s="30" t="n">
        <f aca="false">L23</f>
        <v>1111853</v>
      </c>
      <c r="R23" s="28" t="n">
        <f aca="false">R21-R22</f>
        <v>1100734.47</v>
      </c>
      <c r="S23" s="28" t="n">
        <f aca="false">S21-S22</f>
        <v>1089727.1253</v>
      </c>
      <c r="T23" s="28" t="n">
        <f aca="false">T21-T22</f>
        <v>1078829.854047</v>
      </c>
      <c r="U23" s="28" t="n">
        <f aca="false">U21-U22</f>
        <v>1068041.55550653</v>
      </c>
      <c r="V23" s="28" t="n">
        <f aca="false">V21-V22</f>
        <v>1057361.13995146</v>
      </c>
      <c r="W23" s="28" t="n">
        <f aca="false">W21-W22</f>
        <v>1046787.52855195</v>
      </c>
      <c r="X23" s="28" t="n">
        <f aca="false">X21-X22</f>
        <v>1036319.65326643</v>
      </c>
      <c r="Y23" s="28" t="n">
        <f aca="false">Y21-Y22</f>
        <v>1025956.45673377</v>
      </c>
      <c r="Z23" s="28" t="n">
        <f aca="false">Z21-Z22</f>
        <v>1015696.89216643</v>
      </c>
      <c r="AA23" s="28" t="n">
        <f aca="false">AA21-AA22</f>
        <v>1005539.92324476</v>
      </c>
      <c r="AB23" s="28" t="n">
        <f aca="false">AB21-AB22</f>
        <v>995484.524012317</v>
      </c>
    </row>
    <row r="24" customFormat="false" ht="12.8" hidden="false" customHeight="false" outlineLevel="0" collapsed="false">
      <c r="A24" s="39" t="s">
        <v>52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</row>
    <row r="25" customFormat="false" ht="12.8" hidden="false" customHeight="false" outlineLevel="0" collapsed="false">
      <c r="A25" s="0" t="s">
        <v>53</v>
      </c>
      <c r="B25" s="34" t="n">
        <f aca="false">+B17+B19+B23</f>
        <v>2056874</v>
      </c>
      <c r="C25" s="34" t="n">
        <f aca="false">+C17+C19+C23</f>
        <v>259529</v>
      </c>
      <c r="D25" s="34" t="n">
        <f aca="false">+D17+D19+D23</f>
        <v>566088</v>
      </c>
      <c r="E25" s="34" t="n">
        <f aca="false">+E17+E19+E23</f>
        <v>719118</v>
      </c>
      <c r="F25" s="34" t="n">
        <f aca="false">+F17+F19+F23</f>
        <v>729707</v>
      </c>
      <c r="G25" s="34" t="n">
        <f aca="false">+G17+G19+G23</f>
        <v>2274442</v>
      </c>
      <c r="H25" s="34" t="n">
        <f aca="false">+H17+H19+H23</f>
        <v>406312</v>
      </c>
      <c r="I25" s="34" t="n">
        <f aca="false">+I17+I19+I23</f>
        <v>629736</v>
      </c>
      <c r="J25" s="34" t="n">
        <f aca="false">+J17+J19+J23</f>
        <v>1152261</v>
      </c>
      <c r="K25" s="34" t="n">
        <f aca="false">+K17+K19+K23</f>
        <v>546542</v>
      </c>
      <c r="L25" s="34" t="n">
        <f aca="false">+L17+L19+L23</f>
        <v>2734851</v>
      </c>
      <c r="M25" s="34" t="n">
        <f aca="false">+M17+M19+M23</f>
        <v>583203</v>
      </c>
      <c r="N25" s="21"/>
      <c r="O25" s="34" t="n">
        <f aca="false">+O17+O19+O23</f>
        <v>2056874</v>
      </c>
      <c r="P25" s="34" t="n">
        <f aca="false">+P17+P19+P23</f>
        <v>2346747</v>
      </c>
      <c r="Q25" s="34" t="n">
        <f aca="false">+Q17+Q19+Q23</f>
        <v>2734851</v>
      </c>
      <c r="R25" s="34" t="n">
        <f aca="false">+R17+R19+R23</f>
        <v>2707502.49</v>
      </c>
      <c r="S25" s="34" t="n">
        <f aca="false">+S17+S19+S23</f>
        <v>2680427.4651</v>
      </c>
      <c r="T25" s="34" t="n">
        <f aca="false">+T17+T19+T23</f>
        <v>2653623.190449</v>
      </c>
      <c r="U25" s="34" t="n">
        <f aca="false">+U17+U19+U23</f>
        <v>2627086.95854451</v>
      </c>
      <c r="V25" s="34" t="n">
        <f aca="false">+V17+V19+V23</f>
        <v>2600816.08895906</v>
      </c>
      <c r="W25" s="34" t="n">
        <f aca="false">+W17+W19+W23</f>
        <v>2574807.92806947</v>
      </c>
      <c r="X25" s="34" t="n">
        <f aca="false">+X17+X19+X23</f>
        <v>2549059.84878878</v>
      </c>
      <c r="Y25" s="34" t="n">
        <f aca="false">+Y17+Y19+Y23</f>
        <v>2523569.25030089</v>
      </c>
      <c r="Z25" s="34" t="n">
        <f aca="false">+Z17+Z19+Z23</f>
        <v>2498333.55779788</v>
      </c>
      <c r="AA25" s="34" t="n">
        <f aca="false">+AA17+AA19+AA23</f>
        <v>2473350.2222199</v>
      </c>
      <c r="AB25" s="34" t="n">
        <f aca="false">+AB17+AB19+AB23</f>
        <v>2448616.7199977</v>
      </c>
    </row>
    <row r="26" customFormat="false" ht="12.8" hidden="false" customHeight="false" outlineLevel="0" collapsed="false">
      <c r="A26" s="0" t="s">
        <v>54</v>
      </c>
      <c r="B26" s="25" t="n">
        <v>183988</v>
      </c>
      <c r="C26" s="25" t="n">
        <v>0</v>
      </c>
      <c r="D26" s="25" t="n">
        <f aca="false">(0)-C26</f>
        <v>0</v>
      </c>
      <c r="E26" s="25" t="n">
        <f aca="false">(0)-(D26+C26)</f>
        <v>0</v>
      </c>
      <c r="F26" s="25" t="n">
        <f aca="false">160188-(E26+D26+C26)</f>
        <v>160188</v>
      </c>
      <c r="G26" s="26" t="n">
        <f aca="false">SUM(C26:F26)</f>
        <v>160188</v>
      </c>
      <c r="H26" s="25" t="n">
        <v>0</v>
      </c>
      <c r="I26" s="25" t="n">
        <f aca="false">(0)-H26</f>
        <v>0</v>
      </c>
      <c r="J26" s="25" t="n">
        <f aca="false">(0)-(I26+H26)</f>
        <v>0</v>
      </c>
      <c r="K26" s="25" t="n">
        <f aca="false">205454-(J26+I26+H26)</f>
        <v>205454</v>
      </c>
      <c r="L26" s="26" t="n">
        <f aca="false">SUM(H26:K26)</f>
        <v>205454</v>
      </c>
      <c r="M26" s="25" t="n">
        <v>0</v>
      </c>
      <c r="N26" s="21"/>
      <c r="O26" s="25" t="n">
        <v>183988</v>
      </c>
      <c r="P26" s="26" t="n">
        <f aca="false">G26</f>
        <v>160188</v>
      </c>
      <c r="Q26" s="26" t="n">
        <f aca="false">L26</f>
        <v>205454</v>
      </c>
      <c r="R26" s="25" t="n">
        <f aca="false">Q26*0.99</f>
        <v>203399.46</v>
      </c>
      <c r="S26" s="25" t="n">
        <f aca="false">R26*0.99</f>
        <v>201365.4654</v>
      </c>
      <c r="T26" s="25" t="n">
        <f aca="false">S26*0.99</f>
        <v>199351.810746</v>
      </c>
      <c r="U26" s="25" t="n">
        <f aca="false">T26*0.99</f>
        <v>197358.29263854</v>
      </c>
      <c r="V26" s="25" t="n">
        <f aca="false">U26*0.99</f>
        <v>195384.709712155</v>
      </c>
      <c r="W26" s="25" t="n">
        <f aca="false">V26*0.99</f>
        <v>193430.862615033</v>
      </c>
      <c r="X26" s="25" t="n">
        <f aca="false">W26*0.99</f>
        <v>191496.553988883</v>
      </c>
      <c r="Y26" s="25" t="n">
        <f aca="false">X26*0.99</f>
        <v>189581.588448994</v>
      </c>
      <c r="Z26" s="25" t="n">
        <f aca="false">Y26*0.99</f>
        <v>187685.772564504</v>
      </c>
      <c r="AA26" s="25" t="n">
        <f aca="false">Z26*0.99</f>
        <v>185808.914838859</v>
      </c>
      <c r="AB26" s="25" t="n">
        <f aca="false">AA26*0.99</f>
        <v>183950.82569047</v>
      </c>
    </row>
    <row r="27" customFormat="false" ht="12.8" hidden="false" customHeight="false" outlineLevel="0" collapsed="false">
      <c r="A27" s="0" t="s">
        <v>55</v>
      </c>
      <c r="B27" s="40" t="n">
        <f aca="false">+B25-B26</f>
        <v>1872886</v>
      </c>
      <c r="C27" s="40" t="n">
        <f aca="false">+C25-C26</f>
        <v>259529</v>
      </c>
      <c r="D27" s="40" t="n">
        <f aca="false">+D25-D26</f>
        <v>566088</v>
      </c>
      <c r="E27" s="40" t="n">
        <f aca="false">+E25-E26</f>
        <v>719118</v>
      </c>
      <c r="F27" s="40" t="n">
        <f aca="false">+F25-F26</f>
        <v>569519</v>
      </c>
      <c r="G27" s="41" t="n">
        <f aca="false">SUM(C27:F27)</f>
        <v>2114254</v>
      </c>
      <c r="H27" s="40" t="n">
        <f aca="false">+H25-H26</f>
        <v>406312</v>
      </c>
      <c r="I27" s="40" t="n">
        <f aca="false">+I25-I26</f>
        <v>629736</v>
      </c>
      <c r="J27" s="40" t="n">
        <f aca="false">+J25-J26</f>
        <v>1152261</v>
      </c>
      <c r="K27" s="40" t="n">
        <f aca="false">+K25-K26</f>
        <v>341088</v>
      </c>
      <c r="L27" s="41" t="n">
        <f aca="false">SUM(H27:K27)</f>
        <v>2529397</v>
      </c>
      <c r="M27" s="40" t="n">
        <f aca="false">+M25-M26</f>
        <v>583203</v>
      </c>
      <c r="N27" s="21"/>
      <c r="O27" s="40" t="n">
        <f aca="false">+O25-O26</f>
        <v>1872886</v>
      </c>
      <c r="P27" s="40" t="n">
        <f aca="false">+P25-P26</f>
        <v>2186559</v>
      </c>
      <c r="Q27" s="40" t="n">
        <f aca="false">+Q25-Q26</f>
        <v>2529397</v>
      </c>
      <c r="R27" s="40" t="n">
        <f aca="false">(+R25-R26)*(1+C30)</f>
        <v>2554185.0906</v>
      </c>
      <c r="S27" s="40" t="n">
        <f aca="false">(+S25-S26)*(1+D30)</f>
        <v>2479061.9997</v>
      </c>
      <c r="T27" s="40" t="n">
        <f aca="false">(+T25-T26)*(1+E30)</f>
        <v>2454271.379703</v>
      </c>
      <c r="U27" s="40" t="n">
        <f aca="false">(+U25-U26)*(1+F30)</f>
        <v>2429728.66590597</v>
      </c>
      <c r="V27" s="40" t="n">
        <f aca="false">(+V25-V26)*(1+G30)</f>
        <v>2405431.37924691</v>
      </c>
      <c r="W27" s="40" t="n">
        <f aca="false">(+W25-W26)*(1+H30)</f>
        <v>2381377.06545444</v>
      </c>
      <c r="X27" s="40" t="n">
        <f aca="false">(+X25-X26)*(1+I30)</f>
        <v>2357563.2947999</v>
      </c>
      <c r="Y27" s="40" t="n">
        <f aca="false">(+Y25-Y26)*(1+J30)</f>
        <v>2333987.6618519</v>
      </c>
      <c r="Z27" s="40" t="n">
        <f aca="false">(+Z25-Z26)*(1+K30)</f>
        <v>2310647.78523338</v>
      </c>
      <c r="AA27" s="40" t="n">
        <f aca="false">(+AA25-AA26)*(1+L30)</f>
        <v>2287541.30738104</v>
      </c>
      <c r="AB27" s="40" t="n">
        <f aca="false">(+AB25-AB26)*(1+M30)</f>
        <v>2264665.89430723</v>
      </c>
    </row>
    <row r="28" customFormat="false" ht="12.8" hidden="false" customHeight="false" outlineLevel="0" collapsed="false">
      <c r="A28" s="6"/>
      <c r="B28" s="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21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customFormat="false" ht="12.8" hidden="false" customHeight="false" outlineLevel="0" collapsed="false">
      <c r="A29" s="0" t="s">
        <v>56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customFormat="false" ht="12.8" hidden="false" customHeight="false" outlineLevel="0" collapsed="false">
      <c r="A30" s="0" t="s">
        <v>57</v>
      </c>
      <c r="B30" s="46"/>
      <c r="C30" s="47" t="n">
        <v>0.02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customFormat="false" ht="12.8" hidden="false" customHeight="false" outlineLevel="0" collapsed="false">
      <c r="A31" s="0" t="s">
        <v>58</v>
      </c>
      <c r="B31" s="46"/>
      <c r="C31" s="49" t="n">
        <v>0.04</v>
      </c>
      <c r="D31" s="50"/>
      <c r="E31" s="48"/>
      <c r="F31" s="48"/>
      <c r="G31" s="48"/>
      <c r="H31" s="48"/>
      <c r="I31" s="48"/>
      <c r="J31" s="48"/>
      <c r="K31" s="48"/>
      <c r="L31" s="48"/>
      <c r="M31" s="48"/>
    </row>
    <row r="32" customFormat="false" ht="12.8" hidden="false" customHeight="false" outlineLevel="0" collapsed="false">
      <c r="B32" s="46"/>
      <c r="C32" s="49"/>
      <c r="D32" s="51"/>
      <c r="E32" s="48"/>
      <c r="F32" s="48"/>
      <c r="G32" s="48"/>
      <c r="H32" s="48"/>
      <c r="I32" s="48"/>
      <c r="J32" s="48"/>
      <c r="K32" s="48"/>
      <c r="L32" s="48"/>
      <c r="M32" s="48"/>
    </row>
    <row r="33" customFormat="false" ht="12.8" hidden="false" customHeight="false" outlineLevel="0" collapsed="false">
      <c r="A33" s="0" t="s">
        <v>59</v>
      </c>
      <c r="B33" s="46"/>
      <c r="C33" s="16" t="n">
        <f aca="false">NPV(C31,R27:AB27)</f>
        <v>21002757.5576876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customFormat="false" ht="12.8" hidden="false" customHeight="false" outlineLevel="0" collapsed="false">
      <c r="A34" s="0" t="s">
        <v>15</v>
      </c>
      <c r="B34" s="46"/>
      <c r="C34" s="16" t="n">
        <f aca="false">+Опис!E7</f>
        <v>-14482696.6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customFormat="false" ht="12.8" hidden="false" customHeight="false" outlineLevel="0" collapsed="false">
      <c r="A35" s="0" t="s">
        <v>60</v>
      </c>
      <c r="B35" s="46"/>
      <c r="C35" s="16" t="n">
        <f aca="false">C33+C34</f>
        <v>6520060.95768762</v>
      </c>
    </row>
    <row r="36" customFormat="false" ht="12.8" hidden="false" customHeight="false" outlineLevel="0" collapsed="false">
      <c r="A36" s="0" t="s">
        <v>61</v>
      </c>
      <c r="B36" s="46"/>
      <c r="C36" s="16" t="n">
        <f aca="false">C35/(Опис!E6)</f>
        <v>2860.84654715619</v>
      </c>
    </row>
    <row r="37" customFormat="false" ht="12.8" hidden="false" customHeight="false" outlineLevel="0" collapsed="false">
      <c r="A37" s="0" t="s">
        <v>62</v>
      </c>
      <c r="B37" s="46"/>
      <c r="C37" s="52" t="n">
        <v>12093</v>
      </c>
    </row>
    <row r="38" customFormat="false" ht="12.8" hidden="false" customHeight="false" outlineLevel="0" collapsed="false">
      <c r="A38" s="0" t="s">
        <v>63</v>
      </c>
      <c r="B38" s="46"/>
      <c r="C38" s="53" t="n">
        <f aca="false">(E39/C37)-1</f>
        <v>-0.230880985250679</v>
      </c>
      <c r="D38" s="1" t="s">
        <v>64</v>
      </c>
      <c r="E38" s="1" t="s">
        <v>60</v>
      </c>
      <c r="F38" s="1" t="s">
        <v>65</v>
      </c>
    </row>
    <row r="39" customFormat="false" ht="12.8" hidden="false" customHeight="false" outlineLevel="0" collapsed="false">
      <c r="A39" s="0" t="s">
        <v>66</v>
      </c>
      <c r="B39" s="46"/>
      <c r="C39" s="54" t="n">
        <f aca="false">C36*1.015</f>
        <v>2903.75924536353</v>
      </c>
      <c r="D39" s="1" t="n">
        <f aca="false">(C37*0.0529)*10</f>
        <v>6397.197</v>
      </c>
      <c r="E39" s="55" t="n">
        <f aca="false">D39+C39</f>
        <v>9300.95624536354</v>
      </c>
    </row>
    <row r="40" customFormat="false" ht="12.8" hidden="false" customHeight="false" outlineLevel="0" collapsed="false">
      <c r="A40" s="0" t="s">
        <v>67</v>
      </c>
      <c r="B40" s="46"/>
      <c r="C40" s="54" t="n">
        <f aca="false">C36-C39</f>
        <v>-42.9126982073426</v>
      </c>
    </row>
    <row r="41" customFormat="false" ht="12.8" hidden="false" customHeight="false" outlineLevel="0" collapsed="false">
      <c r="A41" s="56" t="s">
        <v>68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customFormat="false" ht="12.8" hidden="false" customHeight="false" outlineLevel="0" collapsed="false">
      <c r="B42" s="22" t="s">
        <v>69</v>
      </c>
      <c r="G42" s="22" t="s">
        <v>69</v>
      </c>
      <c r="L42" s="22" t="s">
        <v>69</v>
      </c>
    </row>
    <row r="43" customFormat="false" ht="12.8" hidden="false" customHeight="false" outlineLevel="0" collapsed="false">
      <c r="A43" s="0" t="s">
        <v>70</v>
      </c>
      <c r="B43" s="57" t="n">
        <f aca="false">B6/B4</f>
        <v>0.824597913511971</v>
      </c>
      <c r="C43" s="57" t="n">
        <f aca="false">C6/C4</f>
        <v>0.837780437676784</v>
      </c>
      <c r="D43" s="57" t="n">
        <f aca="false">D6/D4</f>
        <v>0.864194414584575</v>
      </c>
      <c r="E43" s="57" t="n">
        <f aca="false">E6/E4</f>
        <v>0.869033951942179</v>
      </c>
      <c r="F43" s="57" t="n">
        <f aca="false">F6/F4</f>
        <v>0.867458484801082</v>
      </c>
      <c r="G43" s="58" t="n">
        <f aca="false">G6/G4</f>
        <v>0.859367011849445</v>
      </c>
      <c r="H43" s="57" t="n">
        <f aca="false">H6/H4</f>
        <v>0.864480387391766</v>
      </c>
      <c r="I43" s="57" t="n">
        <f aca="false">I6/I4</f>
        <v>0.873295499728899</v>
      </c>
      <c r="J43" s="57" t="n">
        <f aca="false">J6/J4</f>
        <v>0.941072057321012</v>
      </c>
      <c r="K43" s="57" t="e">
        <f aca="false">K6/K4</f>
        <v>#DIV/0!</v>
      </c>
      <c r="L43" s="58" t="n">
        <f aca="false">L6/L4</f>
        <v>0.87584999197532</v>
      </c>
      <c r="M43" s="57" t="n">
        <f aca="false">M6/M4</f>
        <v>0.884468246824962</v>
      </c>
    </row>
    <row r="44" customFormat="false" ht="12.8" hidden="false" customHeight="false" outlineLevel="0" collapsed="false">
      <c r="A44" s="0" t="s">
        <v>71</v>
      </c>
      <c r="B44" s="57" t="n">
        <f aca="false">B9/B7</f>
        <v>0.694477069448402</v>
      </c>
      <c r="C44" s="57" t="n">
        <f aca="false">C9/C7</f>
        <v>0.685302747723393</v>
      </c>
      <c r="D44" s="57" t="n">
        <f aca="false">D9/D7</f>
        <v>0.690265213688926</v>
      </c>
      <c r="E44" s="57" t="n">
        <f aca="false">E9/E7</f>
        <v>0.631676938668392</v>
      </c>
      <c r="F44" s="57" t="n">
        <f aca="false">F9/F7</f>
        <v>0.708114061104483</v>
      </c>
      <c r="G44" s="58" t="n">
        <f aca="false">G9/G7</f>
        <v>0.682134192062175</v>
      </c>
      <c r="H44" s="57" t="n">
        <f aca="false">H9/H7</f>
        <v>0.664169010514949</v>
      </c>
      <c r="I44" s="57" t="n">
        <f aca="false">I9/I7</f>
        <v>0.6660106911396</v>
      </c>
      <c r="J44" s="57" t="n">
        <f aca="false">J9/J7</f>
        <v>0.606490695726886</v>
      </c>
      <c r="K44" s="57" t="n">
        <f aca="false">K9/K7</f>
        <v>0.847146883481873</v>
      </c>
      <c r="L44" s="58" t="n">
        <f aca="false">L9/L7</f>
        <v>0.682134192062175</v>
      </c>
      <c r="M44" s="57" t="n">
        <f aca="false">M9/M7</f>
        <v>0.619015068134819</v>
      </c>
    </row>
    <row r="45" customFormat="false" ht="12.8" hidden="false" customHeight="false" outlineLevel="0" collapsed="false">
      <c r="B45" s="57"/>
      <c r="C45" s="57"/>
      <c r="D45" s="57"/>
      <c r="E45" s="57"/>
      <c r="F45" s="57"/>
      <c r="G45" s="59"/>
      <c r="H45" s="57"/>
      <c r="I45" s="57"/>
      <c r="J45" s="57"/>
      <c r="K45" s="57"/>
      <c r="L45" s="59"/>
      <c r="M45" s="57"/>
    </row>
    <row r="46" customFormat="false" ht="12.8" hidden="false" customHeight="false" outlineLevel="0" collapsed="false">
      <c r="A46" s="27" t="s">
        <v>72</v>
      </c>
      <c r="B46" s="58" t="n">
        <f aca="false">B6/SUM(B6,B9,B13,B19,B23)</f>
        <v>0.660855970434729</v>
      </c>
      <c r="C46" s="57" t="n">
        <f aca="false">C6/SUM(C6,C9,C13,C19,C23)</f>
        <v>0.73298225831604</v>
      </c>
      <c r="D46" s="57" t="n">
        <f aca="false">D6/SUM(D6,D9,D13,D19,D23)</f>
        <v>0.380002589842332</v>
      </c>
      <c r="E46" s="57" t="n">
        <f aca="false">E6/SUM(E6,E9,E13,E19,E23)</f>
        <v>0.66690963136127</v>
      </c>
      <c r="F46" s="57" t="n">
        <f aca="false">F6/SUM(F6,F9,F13,F19,F23)</f>
        <v>0.441466063573146</v>
      </c>
      <c r="G46" s="58" t="n">
        <f aca="false">G6/SUM(G6,G9,G13,G19,G23)</f>
        <v>0.516752277725249</v>
      </c>
      <c r="H46" s="57" t="n">
        <f aca="false">H6/SUM(H6,H9,H13,H19,H23)</f>
        <v>0.648318713697007</v>
      </c>
      <c r="I46" s="57" t="n">
        <f aca="false">I6/SUM(I6,I9,I13,I19,I23)</f>
        <v>0.46870467615934</v>
      </c>
      <c r="J46" s="57" t="n">
        <f aca="false">J6/SUM(J6,J9,J13,J19,J23)</f>
        <v>0.896835557360385</v>
      </c>
      <c r="K46" s="57" t="n">
        <f aca="false">K6/SUM(K6,K9,K13,K19,K23)</f>
        <v>-0.0783452133232981</v>
      </c>
      <c r="L46" s="58" t="n">
        <f aca="false">L6/SUM(L6,L9,L13,L19,L23)</f>
        <v>0.513905089555331</v>
      </c>
      <c r="M46" s="57" t="n">
        <f aca="false">M6/SUM(M6,M9,M13,M19,M23)</f>
        <v>0.689443155705597</v>
      </c>
    </row>
    <row r="47" customFormat="false" ht="12.8" hidden="false" customHeight="false" outlineLevel="0" collapsed="false">
      <c r="A47" s="32" t="s">
        <v>73</v>
      </c>
      <c r="B47" s="58" t="n">
        <f aca="false">B9/SUM(B6,B9,B13,B19,B23)</f>
        <v>0.274615924090595</v>
      </c>
      <c r="C47" s="57" t="n">
        <f aca="false">C9/SUM(C6,C9,C13,C19,C23)</f>
        <v>0.270640451999088</v>
      </c>
      <c r="D47" s="57" t="n">
        <f aca="false">D9/SUM(D6,D9,D13,D19,D23)</f>
        <v>0.14271307034739</v>
      </c>
      <c r="E47" s="57" t="n">
        <f aca="false">E9/SUM(E6,E9,E13,E19,E23)</f>
        <v>0.209422433521248</v>
      </c>
      <c r="F47" s="57" t="n">
        <f aca="false">F9/SUM(F6,F9,F13,F19,F23)</f>
        <v>0.231049918819016</v>
      </c>
      <c r="G47" s="58" t="n">
        <f aca="false">G9/SUM(G6,G9,G13,G19,G23)</f>
        <v>0.204313080932819</v>
      </c>
      <c r="H47" s="57" t="n">
        <f aca="false">H9/SUM(H6,H9,H13,H19,H23)</f>
        <v>0.271240098416759</v>
      </c>
      <c r="I47" s="57" t="n">
        <f aca="false">I9/SUM(I6,I9,I13,I19,I23)</f>
        <v>0.218505823567893</v>
      </c>
      <c r="J47" s="57" t="n">
        <f aca="false">J9/SUM(J6,J9,J13,J19,J23)</f>
        <v>0.147048159491812</v>
      </c>
      <c r="K47" s="57" t="n">
        <f aca="false">K9/SUM(K6,K9,K13,K19,K23)</f>
        <v>0.194897322943876</v>
      </c>
      <c r="L47" s="58" t="n">
        <f aca="false">L9/SUM(L6,L9,L13,L19,L23)</f>
        <v>0.200275184624818</v>
      </c>
      <c r="M47" s="57" t="n">
        <f aca="false">M9/SUM(M6,M9,M13,M19,M23)</f>
        <v>0.273698670792571</v>
      </c>
    </row>
    <row r="48" customFormat="false" ht="12.8" hidden="false" customHeight="false" outlineLevel="0" collapsed="false">
      <c r="A48" s="33" t="s">
        <v>74</v>
      </c>
      <c r="B48" s="58" t="n">
        <f aca="false">B13/SUM(B6,B9,B13,B19,B23)</f>
        <v>0.00616648492496559</v>
      </c>
      <c r="C48" s="57" t="n">
        <f aca="false">C13/SUM(C6,C9,C13,C19,C23)</f>
        <v>0.0460288137423077</v>
      </c>
      <c r="D48" s="57" t="n">
        <f aca="false">D13/SUM(D6,D9,D13,D19,D23)</f>
        <v>0.0290885222142769</v>
      </c>
      <c r="E48" s="57" t="n">
        <f aca="false">E13/SUM(E6,E9,E13,E19,E23)</f>
        <v>0.0453402764325341</v>
      </c>
      <c r="F48" s="57" t="n">
        <f aca="false">F13/SUM(F6,F9,F13,F19,F23)</f>
        <v>0.0361279117241702</v>
      </c>
      <c r="G48" s="58" t="n">
        <f aca="false">G13/SUM(G6,G9,G13,G19,G23)</f>
        <v>0.0373310612832287</v>
      </c>
      <c r="H48" s="57" t="n">
        <f aca="false">H13/SUM(H6,H9,H13,H19,H23)</f>
        <v>0.053073948696833</v>
      </c>
      <c r="I48" s="57" t="n">
        <f aca="false">I13/SUM(I6,I9,I13,I19,I23)</f>
        <v>0.0348149177080076</v>
      </c>
      <c r="J48" s="57" t="n">
        <f aca="false">J13/SUM(J6,J9,J13,J19,J23)</f>
        <v>0.0389480512460133</v>
      </c>
      <c r="K48" s="57" t="n">
        <f aca="false">K13/SUM(K6,K9,K13,K19,K23)</f>
        <v>0.0219005032393265</v>
      </c>
      <c r="L48" s="58" t="n">
        <f aca="false">L13/SUM(L6,L9,L13,L19,L23)</f>
        <v>0.0365932771245195</v>
      </c>
      <c r="M48" s="57" t="n">
        <f aca="false">M13/SUM(M6,M9,M13,M19,M23)</f>
        <v>0.0681941677232385</v>
      </c>
    </row>
    <row r="49" customFormat="false" ht="12.8" hidden="false" customHeight="false" outlineLevel="0" collapsed="false">
      <c r="A49" s="36" t="s">
        <v>75</v>
      </c>
      <c r="B49" s="58" t="n">
        <f aca="false">B19/SUM(B6,B9,B13,B19,B23)</f>
        <v>0.0167129082043187</v>
      </c>
      <c r="C49" s="57" t="n">
        <f aca="false">C19/SUM(C6,C9,C13,C19,C23)</f>
        <v>0</v>
      </c>
      <c r="D49" s="57" t="n">
        <f aca="false">D19/SUM(D6,D9,D13,D19,D23)</f>
        <v>0</v>
      </c>
      <c r="E49" s="57" t="n">
        <f aca="false">E19/SUM(E6,E9,E13,E19,E23)</f>
        <v>0</v>
      </c>
      <c r="F49" s="57" t="n">
        <f aca="false">F19/SUM(F6,F9,F13,F19,F23)</f>
        <v>0.0493834554395642</v>
      </c>
      <c r="G49" s="58" t="n">
        <f aca="false">G19/SUM(G6,G9,G13,G19,G23)</f>
        <v>0.0144345774031637</v>
      </c>
      <c r="H49" s="57" t="n">
        <f aca="false">H19/SUM(H6,H9,H13,H19,H23)</f>
        <v>0</v>
      </c>
      <c r="I49" s="57" t="n">
        <f aca="false">I19/SUM(I6,I9,I13,I19,I23)</f>
        <v>0</v>
      </c>
      <c r="J49" s="57" t="n">
        <f aca="false">J19/SUM(J6,J9,J13,J19,J23)</f>
        <v>0.0266837099961896</v>
      </c>
      <c r="K49" s="57" t="n">
        <f aca="false">K19/SUM(K6,K9,K13,K19,K23)</f>
        <v>0.0356270568616166</v>
      </c>
      <c r="L49" s="58" t="n">
        <f aca="false">L19/SUM(L6,L9,L13,L19,L23)</f>
        <v>0.016553558461561</v>
      </c>
      <c r="M49" s="57" t="n">
        <f aca="false">M19/SUM(M6,M9,M13,M19,M23)</f>
        <v>0</v>
      </c>
    </row>
    <row r="50" customFormat="false" ht="12.8" hidden="false" customHeight="false" outlineLevel="0" collapsed="false">
      <c r="A50" s="38" t="s">
        <v>76</v>
      </c>
      <c r="B50" s="58" t="n">
        <f aca="false">B23/SUM(B6,B9,B13,B19,B23)</f>
        <v>0.0416487123453913</v>
      </c>
      <c r="C50" s="57" t="n">
        <f aca="false">C23/SUM(C6,C9,C13,C19,C23)</f>
        <v>-0.0496515240574356</v>
      </c>
      <c r="D50" s="57" t="n">
        <f aca="false">D23/SUM(D6,D9,D13,D19,D23)</f>
        <v>0.448195817596001</v>
      </c>
      <c r="E50" s="57" t="n">
        <f aca="false">E23/SUM(E6,E9,E13,E19,E23)</f>
        <v>0.0783276586849481</v>
      </c>
      <c r="F50" s="57" t="n">
        <f aca="false">F23/SUM(F6,F9,F13,F19,F23)</f>
        <v>0.241972650444103</v>
      </c>
      <c r="G50" s="58" t="n">
        <f aca="false">G23/SUM(G6,G9,G13,G19,G23)</f>
        <v>0.22716900265554</v>
      </c>
      <c r="H50" s="57" t="n">
        <f aca="false">H23/SUM(H6,H9,H13,H19,H23)</f>
        <v>0.0273672391894005</v>
      </c>
      <c r="I50" s="57" t="n">
        <f aca="false">I23/SUM(I6,I9,I13,I19,I23)</f>
        <v>0.27797458256476</v>
      </c>
      <c r="J50" s="57" t="n">
        <f aca="false">J23/SUM(J6,J9,J13,J19,J23)</f>
        <v>-0.109515478094399</v>
      </c>
      <c r="K50" s="57" t="n">
        <f aca="false">K23/SUM(K6,K9,K13,K19,K23)</f>
        <v>0.825920330278479</v>
      </c>
      <c r="L50" s="58" t="n">
        <f aca="false">L23/SUM(L6,L9,L13,L19,L23)</f>
        <v>0.232672890233771</v>
      </c>
      <c r="M50" s="57" t="n">
        <f aca="false">M23/SUM(M6,M9,M13,M19,M23)</f>
        <v>-0.0313359942214065</v>
      </c>
    </row>
    <row r="51" customFormat="false" ht="12.8" hidden="false" customHeight="false" outlineLevel="0" collapsed="false">
      <c r="B51" s="59"/>
      <c r="C51" s="57"/>
      <c r="D51" s="57"/>
      <c r="E51" s="57"/>
      <c r="F51" s="57"/>
      <c r="G51" s="59"/>
      <c r="H51" s="57"/>
      <c r="I51" s="57"/>
      <c r="J51" s="57"/>
      <c r="K51" s="57"/>
      <c r="L51" s="59"/>
      <c r="M51" s="57"/>
    </row>
    <row r="52" customFormat="false" ht="12.8" hidden="false" customHeight="false" outlineLevel="0" collapsed="false">
      <c r="A52" s="0" t="s">
        <v>77</v>
      </c>
      <c r="B52" s="58" t="n">
        <f aca="false">B22/SUM(B9,B12,B16,B22,B26)</f>
        <v>0.230058660246044</v>
      </c>
      <c r="C52" s="57" t="n">
        <f aca="false">C17/SUM(C7,C4,C10:C12)</f>
        <v>0.274326763542217</v>
      </c>
      <c r="D52" s="57" t="n">
        <f aca="false">D17/SUM(D7,D4,D10:D12)</f>
        <v>-0.128919557942605</v>
      </c>
      <c r="E52" s="57" t="n">
        <f aca="false">E17/SUM(E7,E4,E10:E12)</f>
        <v>0.619336962676175</v>
      </c>
      <c r="F52" s="57" t="n">
        <f aca="false">F17/SUM(F7,F4,F10:F12)</f>
        <v>0.27727805760431</v>
      </c>
      <c r="G52" s="58" t="n">
        <f aca="false">G17/SUM(G7,G4,G10:G12)</f>
        <v>0.26003398307127</v>
      </c>
      <c r="H52" s="57" t="n">
        <f aca="false">H17/SUM(H7,H4,H10:H12)</f>
        <v>0.354743474848973</v>
      </c>
      <c r="I52" s="57" t="n">
        <f aca="false">I17/SUM(I7,I4,I10:I12)</f>
        <v>0.234221738009038</v>
      </c>
      <c r="J52" s="57" t="n">
        <f aca="false">J17/SUM(J7,J4,J10:J12)</f>
        <v>0.682468509710641</v>
      </c>
      <c r="K52" s="57" t="n">
        <f aca="false">K17/SUM(K7,K4,K10:K12)</f>
        <v>-1.4186138454386</v>
      </c>
      <c r="L52" s="58" t="n">
        <f aca="false">L17/SUM(L7,L4,L10:L12)</f>
        <v>0.352349157944633</v>
      </c>
      <c r="M52" s="57" t="n">
        <f aca="false">M17/SUM(M7,M4,M10:M12)</f>
        <v>0.517645327147867</v>
      </c>
    </row>
    <row r="53" customFormat="false" ht="12.8" hidden="false" customHeight="false" outlineLevel="0" collapsed="false">
      <c r="A53" s="0" t="s">
        <v>78</v>
      </c>
      <c r="B53" s="58" t="n">
        <f aca="false">B26/SUM(B9,B12,B16,B22,B26)</f>
        <v>0.0649932635740572</v>
      </c>
      <c r="C53" s="57" t="n">
        <f aca="false">C27/SUM(C7,C4,C10:C12)</f>
        <v>0.236593614965267</v>
      </c>
      <c r="D53" s="57" t="n">
        <f aca="false">D27/SUM(D7,D4,D10:D12)</f>
        <v>0.534525347293041</v>
      </c>
      <c r="E53" s="57" t="n">
        <f aca="false">E27/SUM(E7,E4,E10:E12)</f>
        <v>0.687787886207477</v>
      </c>
      <c r="F53" s="57" t="n">
        <f aca="false">F27/SUM(F7,F4,F10:F12)</f>
        <v>0.477383505965209</v>
      </c>
      <c r="G53" s="58" t="n">
        <f aca="false">G27/SUM(G7,G4,G10:G12)</f>
        <v>0.481109176134663</v>
      </c>
      <c r="H53" s="57" t="n">
        <f aca="false">H27/SUM(H7,H4,H10:H12)</f>
        <v>0.377334590149471</v>
      </c>
      <c r="I53" s="57" t="n">
        <f aca="false">I27/SUM(I7,I4,I10:I12)</f>
        <v>0.543218183182678</v>
      </c>
      <c r="J53" s="57" t="n">
        <f aca="false">J27/SUM(J7,J4,J10:J12)</f>
        <v>0.615365594969671</v>
      </c>
      <c r="K53" s="57" t="n">
        <f aca="false">K27/SUM(K7,K4,K10:K12)</f>
        <v>1.248615346319</v>
      </c>
      <c r="L53" s="58" t="n">
        <f aca="false">L27/SUM(L7,L4,L10:L12,L23,L19)</f>
        <v>0.453892789369558</v>
      </c>
      <c r="M53" s="57" t="n">
        <f aca="false">M27/SUM(M7,M4,M10:M12)</f>
        <v>0.493350962587744</v>
      </c>
    </row>
    <row r="54" customFormat="false" ht="12.8" hidden="false" customHeight="false" outlineLevel="0" collapsed="false">
      <c r="A54" s="0" t="s">
        <v>79</v>
      </c>
      <c r="B54" s="58" t="n">
        <f aca="false">B26/B25</f>
        <v>0.0894503017686061</v>
      </c>
      <c r="C54" s="57"/>
      <c r="D54" s="57"/>
      <c r="E54" s="57"/>
      <c r="F54" s="57"/>
      <c r="G54" s="58" t="n">
        <f aca="false">G26/G25</f>
        <v>0.0704295822887548</v>
      </c>
      <c r="H54" s="57"/>
      <c r="I54" s="57"/>
      <c r="J54" s="57"/>
      <c r="K54" s="57"/>
      <c r="L54" s="58" t="n">
        <f aca="false">L26/L25</f>
        <v>0.0751243852041665</v>
      </c>
      <c r="M54" s="57"/>
    </row>
    <row r="55" customFormat="false" ht="12.8" hidden="false" customHeight="false" outlineLevel="0" collapsed="false">
      <c r="B55" s="59"/>
      <c r="L55" s="19"/>
    </row>
    <row r="56" customFormat="false" ht="12.8" hidden="false" customHeight="false" outlineLevel="0" collapsed="false">
      <c r="A56" s="0" t="s">
        <v>80</v>
      </c>
      <c r="B56" s="59"/>
      <c r="F56" s="57"/>
      <c r="G56" s="58" t="n">
        <f aca="false">(SUM(G4,G7,G13:G15)-SUM(B4,B7,B13:B15))/SUM(B4,B7,B13:B15)</f>
        <v>0.160548128527827</v>
      </c>
      <c r="H56" s="57" t="n">
        <f aca="false">(SUM(H4,H7,H13:H15)-SUM(C4,C7,C13:C15))/SUM(C4,C7,C13:C15)</f>
        <v>-0.0771373550273886</v>
      </c>
      <c r="I56" s="57" t="n">
        <f aca="false">(SUM(I4,I7,I13:I15)-SUM(D4,D7,D13:D15))/SUM(D4,D7,D13:D15)</f>
        <v>-0.132153270227589</v>
      </c>
      <c r="J56" s="57" t="n">
        <f aca="false">(SUM(J4,J7,J13:J15)-SUM(E4,E7,E13:E15))/SUM(E4,E7,E13:E15)</f>
        <v>0.736827055170602</v>
      </c>
      <c r="K56" s="57" t="n">
        <f aca="false">(SUM(K4,K7,K13:K15)-SUM(F4,F7,F13:F15))/SUM(F4,F7,F13:F15)</f>
        <v>-0.706399192772669</v>
      </c>
      <c r="L56" s="58" t="n">
        <f aca="false">(SUM(L4,L7,L13:L15)-SUM(G4,G7,G13:G15))/SUM(G4,G7,G13:G15)</f>
        <v>-0.0740972515592364</v>
      </c>
      <c r="M56" s="57" t="n">
        <f aca="false">(SUM(M4,M7,M13:M15)-SUM(H4,H7,H13:H15))/SUM(H4,H7,H13:H15)</f>
        <v>-0.0366546080382861</v>
      </c>
    </row>
    <row r="57" customFormat="false" ht="12.8" hidden="false" customHeight="false" outlineLevel="0" collapsed="false">
      <c r="A57" s="0" t="s">
        <v>81</v>
      </c>
      <c r="B57" s="59"/>
      <c r="F57" s="57"/>
      <c r="G57" s="58" t="n">
        <f aca="false">(SUM(G5,G8,G14:G16)-SUM(B5,B8,B14:B16))/SUM(B5,B8,B14:B16)</f>
        <v>0.283711119787236</v>
      </c>
      <c r="H57" s="57" t="n">
        <f aca="false">(SUM(H5,H8,H14:H16)-SUM(C5,C8,C14:C16))/SUM(C5,C8,C14:C16)</f>
        <v>-0.127146302856712</v>
      </c>
      <c r="I57" s="57" t="n">
        <f aca="false">(SUM(I5,I8,I14:I16)-SUM(D5,D8,D14:D16))/SUM(D5,D8,D14:D16)</f>
        <v>-0.257479215108985</v>
      </c>
      <c r="J57" s="57" t="n">
        <f aca="false">(SUM(J5,J8,J14:J16)-SUM(E5,E8,E14:E16))/SUM(E5,E8,E14:E16)</f>
        <v>0.493888237023339</v>
      </c>
      <c r="K57" s="57" t="n">
        <f aca="false">(SUM(K5,K8,K14:K16)-SUM(F5,F8,F14:F16))/SUM(F5,F8,F14:F16)</f>
        <v>-0.233711586995249</v>
      </c>
      <c r="L57" s="58" t="n">
        <f aca="false">(SUM(L5,L8,L14:L16)-SUM(G5,G8,G14:G16))/SUM(G5,G8,G14:G16)</f>
        <v>-0.127309674516754</v>
      </c>
      <c r="M57" s="57" t="n">
        <f aca="false">(SUM(M5,M8,M14:M16)-SUM(H5,H8,H14:H16))/SUM(H5,H8,H14:H16)</f>
        <v>-0.179337055219492</v>
      </c>
    </row>
    <row r="58" customFormat="false" ht="12.8" hidden="false" customHeight="false" outlineLevel="0" collapsed="false">
      <c r="A58" s="0" t="s">
        <v>82</v>
      </c>
      <c r="F58" s="57"/>
      <c r="G58" s="58" t="n">
        <f aca="false">(G17-B17)/B17</f>
        <v>-0.380467594540321</v>
      </c>
      <c r="H58" s="57" t="n">
        <f aca="false">(H17-C17)/C17</f>
        <v>0.269393858832912</v>
      </c>
      <c r="I58" s="57" t="n">
        <f aca="false">(I17-D17)/D17</f>
        <v>-2.98873524155509</v>
      </c>
      <c r="J58" s="57" t="n">
        <f aca="false">(J17-E17)/E17</f>
        <v>0.973456834926778</v>
      </c>
      <c r="K58" s="57" t="n">
        <f aca="false">(K17-F17)/F17</f>
        <v>-2.17150907062725</v>
      </c>
      <c r="L58" s="58" t="n">
        <f aca="false">(L17-G17)/G17</f>
        <v>0.351058430250365</v>
      </c>
      <c r="M58" s="57" t="n">
        <f aca="false">(M17-H17)/H17</f>
        <v>0.601948762520092</v>
      </c>
    </row>
    <row r="59" customFormat="false" ht="12.8" hidden="false" customHeight="true" outlineLevel="0" collapsed="false">
      <c r="A59" s="0" t="s">
        <v>83</v>
      </c>
      <c r="G59" s="58" t="n">
        <f aca="false">(G27-B27)/B27</f>
        <v>0.128874902156351</v>
      </c>
      <c r="H59" s="59" t="n">
        <f aca="false">(H27-C27)/C27</f>
        <v>0.565574560068432</v>
      </c>
      <c r="I59" s="59" t="n">
        <f aca="false">(I27-D27)/D27</f>
        <v>0.112434815788358</v>
      </c>
      <c r="J59" s="59" t="n">
        <f aca="false">(J27-E27)/E27</f>
        <v>0.602325348551976</v>
      </c>
      <c r="K59" s="59" t="n">
        <f aca="false">(K27-F27)/F27</f>
        <v>-0.40109460790597</v>
      </c>
      <c r="L59" s="58" t="n">
        <f aca="false">(L27-G27)/G27</f>
        <v>0.196354364234382</v>
      </c>
      <c r="M59" s="59" t="n">
        <f aca="false">(M27-H27)/H27</f>
        <v>0.43535755773888</v>
      </c>
    </row>
    <row r="60" customFormat="false" ht="12.8" hidden="false" customHeight="false" outlineLevel="0" collapsed="false">
      <c r="A60" s="60" t="s">
        <v>84</v>
      </c>
      <c r="B60" s="61" t="s">
        <v>84</v>
      </c>
      <c r="C60" s="61"/>
      <c r="D60" s="61"/>
    </row>
    <row r="61" customFormat="false" ht="12.8" hidden="false" customHeight="false" outlineLevel="0" collapsed="false">
      <c r="B61" s="23" t="n">
        <v>2019</v>
      </c>
      <c r="C61" s="23" t="n">
        <v>2020</v>
      </c>
      <c r="D61" s="23" t="n">
        <v>2021</v>
      </c>
    </row>
    <row r="62" customFormat="false" ht="12.8" hidden="false" customHeight="false" outlineLevel="0" collapsed="false">
      <c r="A62" s="0" t="s">
        <v>85</v>
      </c>
      <c r="B62" s="62" t="n">
        <f aca="false">(B27/Средства!B27)</f>
        <v>0.0152228130852082</v>
      </c>
      <c r="C62" s="62" t="n">
        <f aca="false">(G27/Средства!C27)</f>
        <v>0.015926923938451</v>
      </c>
      <c r="D62" s="63" t="n">
        <f aca="false">G27/Средства!D27</f>
        <v>0.0142321488667098</v>
      </c>
    </row>
    <row r="63" customFormat="false" ht="12.8" hidden="false" customHeight="false" outlineLevel="0" collapsed="false">
      <c r="A63" s="0" t="s">
        <v>86</v>
      </c>
      <c r="B63" s="62" t="n">
        <f aca="false">B27/Средства!G32</f>
        <v>0.140927359977173</v>
      </c>
      <c r="C63" s="62" t="n">
        <f aca="false">G27/Средства!H32</f>
        <v>0.151477639456603</v>
      </c>
      <c r="D63" s="63" t="n">
        <f aca="false">L27/Средства!I32</f>
        <v>0.169760284288074</v>
      </c>
    </row>
    <row r="64" customFormat="false" ht="12.8" hidden="false" customHeight="false" outlineLevel="0" collapsed="false">
      <c r="A64" s="0" t="s">
        <v>87</v>
      </c>
      <c r="B64" s="62" t="n">
        <f aca="false">(Опис!E5/B27)</f>
        <v>0.00645687991687695</v>
      </c>
      <c r="C64" s="63" t="n">
        <f aca="false">(Опис!E5/G27)</f>
        <v>0.00571974795838154</v>
      </c>
      <c r="D64" s="63" t="n">
        <f aca="false">(Опис!E5/L27)</f>
        <v>0.00478098139596117</v>
      </c>
    </row>
    <row r="65" customFormat="false" ht="12.8" hidden="false" customHeight="false" outlineLevel="0" collapsed="false">
      <c r="A65" s="0" t="s">
        <v>88</v>
      </c>
      <c r="B65" s="63" t="n">
        <f aca="false">(Опис!E5/Средства!G32)</f>
        <v>0.000909951040375099</v>
      </c>
      <c r="C65" s="63" t="n">
        <f aca="false">(Опис!E5/Средства!H32)</f>
        <v>0.00086641391902236</v>
      </c>
      <c r="D65" s="63" t="n">
        <f aca="false">(Опис!E5/Средства!I32)</f>
        <v>0.000811620760954363</v>
      </c>
    </row>
    <row r="66" customFormat="false" ht="12.8" hidden="false" customHeight="false" outlineLevel="0" collapsed="false">
      <c r="A66" s="64" t="s">
        <v>89</v>
      </c>
      <c r="B66" s="65" t="s">
        <v>89</v>
      </c>
      <c r="C66" s="65"/>
      <c r="D66" s="65"/>
    </row>
    <row r="67" customFormat="false" ht="12.8" hidden="false" customHeight="false" outlineLevel="0" collapsed="false">
      <c r="B67" s="23" t="n">
        <v>2019</v>
      </c>
      <c r="C67" s="23" t="n">
        <v>2020</v>
      </c>
      <c r="D67" s="66" t="n">
        <v>2021</v>
      </c>
    </row>
    <row r="68" customFormat="false" ht="12.8" hidden="false" customHeight="false" outlineLevel="0" collapsed="false">
      <c r="A68" s="0" t="s">
        <v>90</v>
      </c>
      <c r="B68" s="62" t="n">
        <f aca="false">Средства!G32/Средства!G22</f>
        <v>0.121136675568284</v>
      </c>
      <c r="C68" s="62" t="n">
        <f aca="false">Средства!H32/Средства!H22</f>
        <v>0.11648929746027</v>
      </c>
      <c r="D68" s="62" t="n">
        <f aca="false">Средства!I32/Средства!I22</f>
        <v>0.111516334541849</v>
      </c>
    </row>
    <row r="69" customFormat="false" ht="12.8" hidden="false" customHeight="false" outlineLevel="0" collapsed="false">
      <c r="A69" s="0" t="s">
        <v>91</v>
      </c>
      <c r="B69" s="62" t="n">
        <f aca="false">Средства!G22/Средства!B27</f>
        <v>0.891710637982714</v>
      </c>
      <c r="C69" s="62" t="n">
        <f aca="false">Средства!H22/Средства!C27</f>
        <v>0.902604202507828</v>
      </c>
      <c r="D69" s="62" t="n">
        <f aca="false">Средства!I22/Средства!D27</f>
        <v>0.899405908114795</v>
      </c>
    </row>
    <row r="70" customFormat="false" ht="12.8" hidden="false" customHeight="false" outlineLevel="0" collapsed="false">
      <c r="A70" s="0" t="s">
        <v>92</v>
      </c>
      <c r="B70" s="62" t="n">
        <f aca="false">Средства!B5/SUM(Средства!G7:G8)</f>
        <v>0.453075866788024</v>
      </c>
      <c r="C70" s="62" t="n">
        <f aca="false">Средства!C5/SUM(Средства!H7:H8)</f>
        <v>0.426927615566532</v>
      </c>
      <c r="D70" s="62" t="n">
        <f aca="false">Средства!D5/SUM(Средства!I7:I8)</f>
        <v>0.441772583125444</v>
      </c>
    </row>
  </sheetData>
  <mergeCells count="7">
    <mergeCell ref="A3:M3"/>
    <mergeCell ref="A18:M18"/>
    <mergeCell ref="A20:M20"/>
    <mergeCell ref="A24:M24"/>
    <mergeCell ref="A41:M41"/>
    <mergeCell ref="B60:D60"/>
    <mergeCell ref="B66:D66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D1" activeCellId="0" sqref="D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5" width="11.54"/>
    <col collapsed="false" customWidth="true" hidden="false" outlineLevel="0" max="3" min="3" style="67" width="11.54"/>
    <col collapsed="false" customWidth="true" hidden="false" outlineLevel="0" max="4" min="4" style="25" width="11.54"/>
    <col collapsed="false" customWidth="true" hidden="false" outlineLevel="0" max="5" min="5" style="25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21</v>
      </c>
      <c r="B1" s="51"/>
      <c r="D1" s="51" t="s">
        <v>93</v>
      </c>
      <c r="E1" s="51"/>
      <c r="G1" s="0"/>
      <c r="H1" s="0"/>
      <c r="I1" s="0"/>
    </row>
    <row r="2" customFormat="false" ht="12.8" hidden="false" customHeight="false" outlineLevel="0" collapsed="false">
      <c r="A2" s="0" t="s">
        <v>94</v>
      </c>
      <c r="B2" s="51"/>
      <c r="D2" s="51"/>
      <c r="E2" s="51"/>
      <c r="G2" s="0"/>
      <c r="H2" s="0"/>
      <c r="I2" s="0"/>
    </row>
    <row r="3" customFormat="false" ht="12.8" hidden="false" customHeight="false" outlineLevel="0" collapsed="false">
      <c r="B3" s="68" t="n">
        <v>2019</v>
      </c>
      <c r="C3" s="69" t="n">
        <v>2020</v>
      </c>
      <c r="D3" s="68" t="n">
        <v>2021</v>
      </c>
      <c r="E3" s="70"/>
      <c r="G3" s="68" t="n">
        <v>2019</v>
      </c>
      <c r="H3" s="69" t="n">
        <v>2020</v>
      </c>
      <c r="I3" s="68" t="n">
        <v>2021</v>
      </c>
    </row>
    <row r="4" customFormat="false" ht="12.8" hidden="false" customHeight="false" outlineLevel="0" collapsed="false">
      <c r="A4" s="71" t="s">
        <v>95</v>
      </c>
      <c r="B4" s="71"/>
      <c r="C4" s="71"/>
      <c r="D4" s="71"/>
      <c r="E4" s="72"/>
      <c r="F4" s="73" t="s">
        <v>96</v>
      </c>
      <c r="G4" s="73"/>
      <c r="H4" s="73"/>
      <c r="I4" s="73"/>
    </row>
    <row r="5" customFormat="false" ht="12.8" hidden="false" customHeight="false" outlineLevel="0" collapsed="false">
      <c r="A5" s="0" t="s">
        <v>97</v>
      </c>
      <c r="B5" s="74" t="n">
        <v>48733248</v>
      </c>
      <c r="C5" s="74" t="n">
        <v>49813220</v>
      </c>
      <c r="D5" s="75" t="n">
        <v>57857098</v>
      </c>
      <c r="E5" s="76"/>
      <c r="F5" s="0" t="s">
        <v>98</v>
      </c>
      <c r="G5" s="77" t="n">
        <v>361</v>
      </c>
      <c r="H5" s="77" t="n">
        <v>5668</v>
      </c>
      <c r="I5" s="77" t="n">
        <v>2623</v>
      </c>
    </row>
    <row r="6" customFormat="false" ht="12.8" hidden="false" customHeight="false" outlineLevel="0" collapsed="false">
      <c r="A6" s="0" t="s">
        <v>99</v>
      </c>
      <c r="B6" s="74"/>
      <c r="C6" s="74"/>
      <c r="D6" s="75"/>
      <c r="E6" s="72"/>
      <c r="F6" s="0" t="s">
        <v>100</v>
      </c>
      <c r="G6" s="77" t="n">
        <v>9709</v>
      </c>
      <c r="H6" s="77" t="n">
        <v>3534</v>
      </c>
      <c r="I6" s="77" t="n">
        <v>100871</v>
      </c>
    </row>
    <row r="7" customFormat="false" ht="12.8" hidden="false" customHeight="false" outlineLevel="0" collapsed="false">
      <c r="A7" s="31" t="s">
        <v>101</v>
      </c>
      <c r="B7" s="25" t="n">
        <v>215462</v>
      </c>
      <c r="C7" s="25" t="n">
        <v>66831</v>
      </c>
      <c r="D7" s="25" t="n">
        <v>141666</v>
      </c>
      <c r="E7" s="72"/>
      <c r="F7" s="78" t="s">
        <v>102</v>
      </c>
      <c r="G7" s="77" t="n">
        <v>449360</v>
      </c>
      <c r="H7" s="77" t="n">
        <v>186134</v>
      </c>
      <c r="I7" s="77" t="n">
        <v>341643</v>
      </c>
    </row>
    <row r="8" customFormat="false" ht="12.8" hidden="false" customHeight="false" outlineLevel="0" collapsed="false">
      <c r="A8" s="0" t="s">
        <v>103</v>
      </c>
      <c r="B8" s="25" t="n">
        <v>4591</v>
      </c>
      <c r="C8" s="25" t="n">
        <v>390</v>
      </c>
      <c r="D8" s="25" t="n">
        <v>391</v>
      </c>
      <c r="E8" s="72"/>
      <c r="F8" s="0" t="s">
        <v>104</v>
      </c>
      <c r="G8" s="77" t="n">
        <v>107111540</v>
      </c>
      <c r="H8" s="77" t="n">
        <v>116492240</v>
      </c>
      <c r="I8" s="77" t="n">
        <v>130624153</v>
      </c>
      <c r="J8" s="10"/>
    </row>
    <row r="9" customFormat="false" ht="12.8" hidden="false" customHeight="false" outlineLevel="0" collapsed="false">
      <c r="A9" s="0" t="s">
        <v>105</v>
      </c>
      <c r="B9" s="25" t="n">
        <v>1984675</v>
      </c>
      <c r="C9" s="25" t="n">
        <v>2258084</v>
      </c>
      <c r="D9" s="25" t="n">
        <v>2599727</v>
      </c>
      <c r="E9" s="72"/>
      <c r="F9" s="0" t="s">
        <v>96</v>
      </c>
      <c r="G9" s="79" t="n">
        <f aca="false">SUM(G5:G8)</f>
        <v>107570970</v>
      </c>
      <c r="H9" s="79" t="n">
        <f aca="false">SUM(H5:H8)</f>
        <v>116687576</v>
      </c>
      <c r="I9" s="79" t="n">
        <f aca="false">SUM(I5:I8)</f>
        <v>131069290</v>
      </c>
    </row>
    <row r="10" customFormat="false" ht="12.8" hidden="false" customHeight="false" outlineLevel="0" collapsed="false">
      <c r="A10" s="0" t="s">
        <v>95</v>
      </c>
      <c r="B10" s="28" t="n">
        <f aca="false">SUM(B5:B9)</f>
        <v>50937976</v>
      </c>
      <c r="C10" s="28" t="n">
        <f aca="false">SUM(C5:C9)</f>
        <v>52138525</v>
      </c>
      <c r="D10" s="28" t="n">
        <f aca="false">SUM(D5:D9)</f>
        <v>60598882</v>
      </c>
      <c r="E10" s="72"/>
      <c r="F10" s="80" t="s">
        <v>106</v>
      </c>
      <c r="G10" s="80"/>
      <c r="H10" s="80"/>
      <c r="I10" s="80"/>
    </row>
    <row r="11" customFormat="false" ht="12.8" hidden="false" customHeight="false" outlineLevel="0" collapsed="false">
      <c r="A11" s="81" t="s">
        <v>107</v>
      </c>
      <c r="B11" s="81"/>
      <c r="C11" s="81"/>
      <c r="D11" s="81"/>
      <c r="E11" s="72"/>
      <c r="F11" s="0" t="s">
        <v>108</v>
      </c>
      <c r="G11" s="77" t="n">
        <v>0</v>
      </c>
      <c r="H11" s="77" t="n">
        <v>0</v>
      </c>
      <c r="I11" s="77" t="n">
        <v>0</v>
      </c>
    </row>
    <row r="12" customFormat="false" ht="12.8" hidden="false" customHeight="false" outlineLevel="0" collapsed="false">
      <c r="A12" s="0" t="s">
        <v>109</v>
      </c>
      <c r="B12" s="25" t="n">
        <v>2756311</v>
      </c>
      <c r="C12" s="25" t="n">
        <v>2789759</v>
      </c>
      <c r="D12" s="25" t="n">
        <v>2758674</v>
      </c>
      <c r="E12" s="72"/>
      <c r="F12" s="0" t="s">
        <v>110</v>
      </c>
      <c r="G12" s="77" t="n">
        <v>0</v>
      </c>
      <c r="H12" s="77" t="n">
        <v>0</v>
      </c>
      <c r="I12" s="77" t="n">
        <v>0</v>
      </c>
    </row>
    <row r="13" customFormat="false" ht="12.8" hidden="false" customHeight="false" outlineLevel="0" collapsed="false">
      <c r="A13" s="31" t="s">
        <v>111</v>
      </c>
      <c r="B13" s="25" t="n">
        <v>56401</v>
      </c>
      <c r="C13" s="25" t="n">
        <v>71561</v>
      </c>
      <c r="D13" s="25" t="n">
        <v>86502</v>
      </c>
      <c r="E13" s="82"/>
      <c r="F13" s="0" t="s">
        <v>112</v>
      </c>
      <c r="G13" s="77" t="n">
        <v>0</v>
      </c>
      <c r="H13" s="77" t="n">
        <v>0</v>
      </c>
      <c r="I13" s="77" t="n">
        <v>0</v>
      </c>
    </row>
    <row r="14" customFormat="false" ht="12.8" hidden="false" customHeight="false" outlineLevel="0" collapsed="false">
      <c r="A14" s="31" t="s">
        <v>113</v>
      </c>
      <c r="B14" s="25" t="n">
        <v>0</v>
      </c>
      <c r="C14" s="67" t="n">
        <v>0</v>
      </c>
      <c r="D14" s="25" t="n">
        <v>0</v>
      </c>
      <c r="E14" s="72"/>
      <c r="F14" s="0" t="s">
        <v>114</v>
      </c>
      <c r="G14" s="77" t="n">
        <v>0</v>
      </c>
      <c r="H14" s="77" t="n">
        <v>0</v>
      </c>
      <c r="I14" s="77" t="n">
        <v>0</v>
      </c>
    </row>
    <row r="15" customFormat="false" ht="14.65" hidden="false" customHeight="false" outlineLevel="0" collapsed="false">
      <c r="A15" s="83" t="s">
        <v>115</v>
      </c>
      <c r="B15" s="25" t="n">
        <v>4693021</v>
      </c>
      <c r="C15" s="67" t="n">
        <v>1021080</v>
      </c>
      <c r="D15" s="25" t="n">
        <v>3099033</v>
      </c>
      <c r="E15" s="72"/>
      <c r="F15" s="0" t="s">
        <v>116</v>
      </c>
      <c r="G15" s="77" t="n">
        <v>837008</v>
      </c>
      <c r="H15" s="77" t="n">
        <v>576425</v>
      </c>
      <c r="I15" s="77" t="n">
        <v>713536</v>
      </c>
    </row>
    <row r="16" customFormat="false" ht="14.65" hidden="false" customHeight="false" outlineLevel="0" collapsed="false">
      <c r="A16" s="83" t="s">
        <v>117</v>
      </c>
      <c r="B16" s="25" t="n">
        <v>50791397</v>
      </c>
      <c r="C16" s="67" t="n">
        <v>50953838</v>
      </c>
      <c r="D16" s="25" t="n">
        <v>53536121</v>
      </c>
      <c r="E16" s="72"/>
      <c r="F16" s="31" t="s">
        <v>118</v>
      </c>
      <c r="G16" s="77" t="n">
        <v>332765</v>
      </c>
      <c r="H16" s="77" t="n">
        <v>296064</v>
      </c>
      <c r="I16" s="77" t="n">
        <v>340635</v>
      </c>
    </row>
    <row r="17" customFormat="false" ht="12.8" hidden="false" customHeight="false" outlineLevel="0" collapsed="false">
      <c r="A17" s="0" t="s">
        <v>119</v>
      </c>
      <c r="B17" s="25" t="n">
        <v>339193</v>
      </c>
      <c r="C17" s="67" t="n">
        <v>344455</v>
      </c>
      <c r="D17" s="25" t="n">
        <v>350371</v>
      </c>
      <c r="E17" s="72"/>
      <c r="F17" s="0" t="s">
        <v>120</v>
      </c>
      <c r="G17" s="77" t="n">
        <v>0</v>
      </c>
      <c r="H17" s="77" t="n">
        <v>0</v>
      </c>
      <c r="I17" s="77" t="n">
        <v>0</v>
      </c>
    </row>
    <row r="18" customFormat="false" ht="12.8" hidden="false" customHeight="false" outlineLevel="0" collapsed="false">
      <c r="A18" s="0" t="s">
        <v>121</v>
      </c>
      <c r="B18" s="25" t="n">
        <v>0</v>
      </c>
      <c r="C18" s="67" t="n">
        <v>0</v>
      </c>
      <c r="D18" s="25" t="n">
        <v>0</v>
      </c>
      <c r="E18" s="72"/>
      <c r="F18" s="0" t="s">
        <v>122</v>
      </c>
      <c r="G18" s="77" t="n">
        <v>0</v>
      </c>
      <c r="H18" s="77" t="n">
        <v>0</v>
      </c>
      <c r="I18" s="77" t="n">
        <v>0</v>
      </c>
    </row>
    <row r="19" customFormat="false" ht="12.8" hidden="false" customHeight="false" outlineLevel="0" collapsed="false">
      <c r="A19" s="0" t="s">
        <v>123</v>
      </c>
      <c r="B19" s="25" t="n">
        <v>13126611</v>
      </c>
      <c r="C19" s="67" t="n">
        <v>25079284</v>
      </c>
      <c r="D19" s="25" t="n">
        <v>27757186</v>
      </c>
      <c r="E19" s="72"/>
      <c r="F19" s="0" t="s">
        <v>124</v>
      </c>
      <c r="G19" s="77" t="n">
        <v>967782</v>
      </c>
      <c r="H19" s="77" t="n">
        <v>2258084</v>
      </c>
      <c r="I19" s="77" t="n">
        <v>1487602</v>
      </c>
    </row>
    <row r="20" customFormat="false" ht="12.8" hidden="false" customHeight="false" outlineLevel="0" collapsed="false">
      <c r="A20" s="0" t="s">
        <v>125</v>
      </c>
      <c r="B20" s="25" t="n">
        <v>289650</v>
      </c>
      <c r="C20" s="67" t="n">
        <v>324115</v>
      </c>
      <c r="D20" s="25" t="n">
        <v>348731</v>
      </c>
      <c r="E20" s="72"/>
      <c r="F20" s="0" t="s">
        <v>126</v>
      </c>
      <c r="G20" s="79" t="n">
        <f aca="false">SUM(G11:G19)</f>
        <v>2137555</v>
      </c>
      <c r="H20" s="79" t="n">
        <f aca="false">SUM(H11:H19)</f>
        <v>3130573</v>
      </c>
      <c r="I20" s="79" t="n">
        <f aca="false">SUM(I11:I19)</f>
        <v>2541773</v>
      </c>
    </row>
    <row r="21" customFormat="false" ht="12.8" hidden="false" customHeight="false" outlineLevel="0" collapsed="false">
      <c r="A21" s="31" t="s">
        <v>127</v>
      </c>
      <c r="B21" s="25" t="n">
        <v>0</v>
      </c>
      <c r="C21" s="67" t="n">
        <v>0</v>
      </c>
      <c r="D21" s="25" t="n">
        <v>0</v>
      </c>
      <c r="E21" s="72"/>
      <c r="G21" s="0"/>
      <c r="H21" s="0"/>
      <c r="I21" s="0"/>
    </row>
    <row r="22" customFormat="false" ht="12.8" hidden="false" customHeight="false" outlineLevel="0" collapsed="false">
      <c r="A22" s="31" t="s">
        <v>128</v>
      </c>
      <c r="B22" s="25" t="n">
        <v>40971</v>
      </c>
      <c r="C22" s="25" t="n">
        <v>24548</v>
      </c>
      <c r="D22" s="25" t="n">
        <v>19298</v>
      </c>
      <c r="E22" s="72"/>
      <c r="F22" s="0" t="s">
        <v>129</v>
      </c>
      <c r="G22" s="77" t="n">
        <f aca="false">+G9+G20</f>
        <v>109708525</v>
      </c>
      <c r="H22" s="77" t="n">
        <f aca="false">+H9+H20</f>
        <v>119818149</v>
      </c>
      <c r="I22" s="77" t="n">
        <f aca="false">+I9+I20</f>
        <v>133611063</v>
      </c>
    </row>
    <row r="23" customFormat="false" ht="12.8" hidden="false" customHeight="false" outlineLevel="0" collapsed="false">
      <c r="A23" s="31" t="s">
        <v>130</v>
      </c>
      <c r="B23" s="25" t="n">
        <v>0</v>
      </c>
      <c r="C23" s="25" t="n">
        <v>0</v>
      </c>
      <c r="D23" s="25" t="n">
        <v>0</v>
      </c>
      <c r="E23" s="72"/>
      <c r="G23" s="0"/>
      <c r="H23" s="0"/>
      <c r="I23" s="0"/>
    </row>
    <row r="24" customFormat="false" ht="12.8" hidden="false" customHeight="false" outlineLevel="0" collapsed="false">
      <c r="A24" s="31" t="s">
        <v>131</v>
      </c>
      <c r="B24" s="25" t="n">
        <v>0</v>
      </c>
      <c r="C24" s="25" t="n">
        <v>0</v>
      </c>
      <c r="D24" s="25" t="n">
        <v>0</v>
      </c>
      <c r="E24" s="72"/>
      <c r="F24" s="84" t="s">
        <v>132</v>
      </c>
      <c r="G24" s="84"/>
      <c r="H24" s="84"/>
      <c r="I24" s="84"/>
    </row>
    <row r="25" customFormat="false" ht="12.8" hidden="false" customHeight="false" outlineLevel="0" collapsed="false">
      <c r="A25" s="0" t="s">
        <v>133</v>
      </c>
      <c r="B25" s="28" t="n">
        <f aca="false">SUM(B12:B24)</f>
        <v>72093555</v>
      </c>
      <c r="C25" s="28" t="n">
        <f aca="false">SUM(C12:C24)</f>
        <v>80608640</v>
      </c>
      <c r="D25" s="28" t="n">
        <f aca="false">SUM(D12:D24)</f>
        <v>87955916</v>
      </c>
      <c r="E25" s="72"/>
      <c r="F25" s="0" t="s">
        <v>134</v>
      </c>
      <c r="G25" s="77" t="n">
        <v>2279067</v>
      </c>
      <c r="H25" s="77" t="n">
        <v>2279067</v>
      </c>
      <c r="I25" s="77" t="n">
        <v>2279067</v>
      </c>
    </row>
    <row r="26" customFormat="false" ht="12.8" hidden="false" customHeight="false" outlineLevel="0" collapsed="false">
      <c r="B26" s="51"/>
      <c r="D26" s="51"/>
      <c r="E26" s="72"/>
      <c r="F26" s="0" t="s">
        <v>135</v>
      </c>
      <c r="G26" s="77" t="n">
        <v>771527</v>
      </c>
      <c r="H26" s="77" t="n">
        <v>771527</v>
      </c>
      <c r="I26" s="77" t="n">
        <v>771527</v>
      </c>
    </row>
    <row r="27" customFormat="false" ht="12.8" hidden="false" customHeight="false" outlineLevel="0" collapsed="false">
      <c r="A27" s="0" t="s">
        <v>136</v>
      </c>
      <c r="B27" s="25" t="n">
        <f aca="false">B25+B10</f>
        <v>123031531</v>
      </c>
      <c r="C27" s="25" t="n">
        <f aca="false">C25+C10</f>
        <v>132747165</v>
      </c>
      <c r="D27" s="25" t="n">
        <f aca="false">D25+D10</f>
        <v>148554798</v>
      </c>
      <c r="E27" s="72"/>
      <c r="F27" s="0" t="s">
        <v>137</v>
      </c>
      <c r="G27" s="77" t="n">
        <v>0</v>
      </c>
      <c r="H27" s="77" t="n">
        <v>0</v>
      </c>
      <c r="I27" s="77" t="n">
        <v>0</v>
      </c>
    </row>
    <row r="28" customFormat="false" ht="12.8" hidden="false" customHeight="false" outlineLevel="0" collapsed="false">
      <c r="B28" s="51"/>
      <c r="C28" s="67" t="n">
        <f aca="false">132726165-C27</f>
        <v>-21000</v>
      </c>
      <c r="D28" s="51"/>
      <c r="E28" s="51"/>
      <c r="F28" s="0" t="s">
        <v>138</v>
      </c>
      <c r="G28" s="77" t="n">
        <v>0</v>
      </c>
      <c r="H28" s="77" t="n">
        <v>0</v>
      </c>
      <c r="I28" s="77" t="n">
        <v>0</v>
      </c>
    </row>
    <row r="29" customFormat="false" ht="12.8" hidden="false" customHeight="false" outlineLevel="0" collapsed="false">
      <c r="A29" s="0" t="s">
        <v>139</v>
      </c>
      <c r="B29" s="25" t="n">
        <f aca="false">(((+B5+B6)-(G7+G8))*0.2)+(B7-G5)</f>
        <v>-11550429.4</v>
      </c>
      <c r="C29" s="25" t="n">
        <f aca="false">(((+C5+C6)-(H7+H8))*0.2)+(C7-H5)</f>
        <v>-13311867.8</v>
      </c>
      <c r="D29" s="25" t="n">
        <f aca="false">(((+D5+D6)-(I7+I8))*0.2)+(D7-I5)</f>
        <v>-14482696.6</v>
      </c>
      <c r="E29" s="51"/>
      <c r="F29" s="0" t="s">
        <v>140</v>
      </c>
      <c r="G29" s="77" t="n">
        <v>5594</v>
      </c>
      <c r="H29" s="77" t="n">
        <v>3517</v>
      </c>
      <c r="I29" s="77" t="n">
        <v>1069</v>
      </c>
    </row>
    <row r="30" customFormat="false" ht="12.8" hidden="false" customHeight="false" outlineLevel="0" collapsed="false">
      <c r="B30" s="0"/>
      <c r="C30" s="0"/>
      <c r="D30" s="0"/>
      <c r="E30" s="51"/>
      <c r="F30" s="0" t="s">
        <v>141</v>
      </c>
      <c r="G30" s="77" t="n">
        <v>8056651</v>
      </c>
      <c r="H30" s="77" t="n">
        <v>8609920</v>
      </c>
      <c r="I30" s="77" t="n">
        <v>9227530</v>
      </c>
    </row>
    <row r="31" customFormat="false" ht="12.8" hidden="false" customHeight="false" outlineLevel="0" collapsed="false">
      <c r="B31" s="51"/>
      <c r="D31" s="51"/>
      <c r="E31" s="51"/>
      <c r="F31" s="0" t="s">
        <v>142</v>
      </c>
      <c r="G31" s="77" t="n">
        <v>2176887</v>
      </c>
      <c r="H31" s="77" t="n">
        <v>2293501</v>
      </c>
      <c r="I31" s="77" t="n">
        <v>2620623</v>
      </c>
    </row>
    <row r="32" customFormat="false" ht="12.8" hidden="false" customHeight="false" outlineLevel="0" collapsed="false">
      <c r="B32" s="51"/>
      <c r="D32" s="51"/>
      <c r="E32" s="51"/>
      <c r="F32" s="0" t="s">
        <v>143</v>
      </c>
      <c r="G32" s="79" t="n">
        <f aca="false">SUM(G25:G31)</f>
        <v>13289726</v>
      </c>
      <c r="H32" s="79" t="n">
        <f aca="false">SUM(H25:H31)</f>
        <v>13957532</v>
      </c>
      <c r="I32" s="79" t="n">
        <f aca="false">SUM(I25:I31)</f>
        <v>14899816</v>
      </c>
    </row>
    <row r="33" customFormat="false" ht="12.8" hidden="false" customHeight="false" outlineLevel="0" collapsed="false">
      <c r="B33" s="51"/>
      <c r="D33" s="51"/>
      <c r="E33" s="51"/>
      <c r="G33" s="85"/>
      <c r="H33" s="85"/>
      <c r="I33" s="85"/>
    </row>
    <row r="34" customFormat="false" ht="12.8" hidden="false" customHeight="false" outlineLevel="0" collapsed="false">
      <c r="B34" s="51"/>
      <c r="D34" s="51"/>
      <c r="E34" s="51"/>
      <c r="F34" s="0" t="s">
        <v>144</v>
      </c>
      <c r="G34" s="77" t="n">
        <f aca="false">G32+G22</f>
        <v>122998251</v>
      </c>
      <c r="H34" s="77" t="n">
        <f aca="false">H32+H22</f>
        <v>133775681</v>
      </c>
      <c r="I34" s="77" t="n">
        <f aca="false">I32+I22</f>
        <v>148510879</v>
      </c>
    </row>
    <row r="35" customFormat="false" ht="12.8" hidden="false" customHeight="false" outlineLevel="0" collapsed="false">
      <c r="B35" s="51"/>
      <c r="D35" s="51"/>
      <c r="E35" s="51"/>
    </row>
    <row r="36" customFormat="false" ht="12.8" hidden="false" customHeight="false" outlineLevel="0" collapsed="false">
      <c r="B36" s="51"/>
      <c r="D36" s="51"/>
      <c r="E36" s="51"/>
    </row>
    <row r="37" customFormat="false" ht="12.8" hidden="false" customHeight="false" outlineLevel="0" collapsed="false">
      <c r="B37" s="51"/>
      <c r="D37" s="51"/>
      <c r="E37" s="51"/>
    </row>
    <row r="38" customFormat="false" ht="12.8" hidden="false" customHeight="false" outlineLevel="0" collapsed="false">
      <c r="B38" s="51"/>
      <c r="D38" s="51"/>
      <c r="E38" s="51"/>
    </row>
    <row r="39" customFormat="false" ht="12.8" hidden="false" customHeight="false" outlineLevel="0" collapsed="false">
      <c r="B39" s="51"/>
      <c r="D39" s="51"/>
      <c r="E39" s="51"/>
    </row>
    <row r="40" customFormat="false" ht="12.8" hidden="false" customHeight="false" outlineLevel="0" collapsed="false">
      <c r="B40" s="51"/>
      <c r="D40" s="51"/>
      <c r="E40" s="51"/>
    </row>
    <row r="41" customFormat="false" ht="12.8" hidden="false" customHeight="false" outlineLevel="0" collapsed="false">
      <c r="B41" s="51"/>
      <c r="D41" s="51"/>
      <c r="E41" s="51"/>
    </row>
    <row r="42" customFormat="false" ht="12.8" hidden="false" customHeight="false" outlineLevel="0" collapsed="false">
      <c r="B42" s="51"/>
      <c r="D42" s="51"/>
      <c r="E42" s="51"/>
    </row>
    <row r="43" customFormat="false" ht="12.8" hidden="false" customHeight="false" outlineLevel="0" collapsed="false">
      <c r="B43" s="51"/>
      <c r="D43" s="51"/>
      <c r="E43" s="51"/>
    </row>
    <row r="44" customFormat="false" ht="12.8" hidden="false" customHeight="false" outlineLevel="0" collapsed="false">
      <c r="B44" s="51"/>
      <c r="D44" s="51"/>
      <c r="E44" s="51"/>
    </row>
    <row r="45" customFormat="false" ht="12.8" hidden="false" customHeight="false" outlineLevel="0" collapsed="false">
      <c r="B45" s="51"/>
      <c r="D45" s="51"/>
      <c r="E45" s="51"/>
    </row>
    <row r="46" customFormat="false" ht="12.8" hidden="false" customHeight="false" outlineLevel="0" collapsed="false">
      <c r="B46" s="51"/>
      <c r="D46" s="51"/>
      <c r="E46" s="51"/>
    </row>
    <row r="47" customFormat="false" ht="12.8" hidden="false" customHeight="false" outlineLevel="0" collapsed="false">
      <c r="B47" s="51"/>
      <c r="D47" s="51"/>
      <c r="E47" s="51"/>
    </row>
    <row r="48" customFormat="false" ht="12.8" hidden="false" customHeight="false" outlineLevel="0" collapsed="false">
      <c r="B48" s="51"/>
      <c r="D48" s="51"/>
      <c r="E48" s="51"/>
    </row>
    <row r="49" customFormat="false" ht="12.8" hidden="false" customHeight="false" outlineLevel="0" collapsed="false">
      <c r="B49" s="51"/>
      <c r="D49" s="51"/>
      <c r="E49" s="51"/>
    </row>
    <row r="50" customFormat="false" ht="12.8" hidden="false" customHeight="false" outlineLevel="0" collapsed="false">
      <c r="B50" s="51"/>
      <c r="D50" s="51"/>
      <c r="E50" s="51"/>
    </row>
    <row r="51" customFormat="false" ht="12.8" hidden="false" customHeight="false" outlineLevel="0" collapsed="false">
      <c r="B51" s="51"/>
      <c r="D51" s="51"/>
      <c r="E51" s="51"/>
    </row>
    <row r="52" customFormat="false" ht="12.8" hidden="false" customHeight="false" outlineLevel="0" collapsed="false">
      <c r="B52" s="51"/>
      <c r="D52" s="51"/>
    </row>
    <row r="53" customFormat="false" ht="12.8" hidden="false" customHeight="false" outlineLevel="0" collapsed="false">
      <c r="B53" s="51"/>
      <c r="D53" s="51"/>
    </row>
    <row r="54" customFormat="false" ht="12.8" hidden="false" customHeight="false" outlineLevel="0" collapsed="false">
      <c r="B54" s="51"/>
      <c r="D54" s="51"/>
    </row>
  </sheetData>
  <mergeCells count="8">
    <mergeCell ref="A4:D4"/>
    <mergeCell ref="F4:I4"/>
    <mergeCell ref="B5:B6"/>
    <mergeCell ref="C5:C6"/>
    <mergeCell ref="D5:D6"/>
    <mergeCell ref="F10:I10"/>
    <mergeCell ref="A11:D11"/>
    <mergeCell ref="F24:I24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25" activeCellId="0" sqref="D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4" min="2" style="67" width="11.54"/>
    <col collapsed="false" customWidth="true" hidden="false" outlineLevel="0" max="5" min="5" style="0" width="9.63"/>
    <col collapsed="false" customWidth="true" hidden="false" outlineLevel="0" max="6" min="6" style="67" width="11.52"/>
    <col collapsed="false" customWidth="true" hidden="false" outlineLevel="0" max="7" min="7" style="1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  <col collapsed="false" customWidth="false" hidden="false" outlineLevel="0" max="1024" min="15" style="31" width="11.59"/>
  </cols>
  <sheetData>
    <row r="1" customFormat="false" ht="12.8" hidden="false" customHeight="false" outlineLevel="0" collapsed="false">
      <c r="A1" s="2" t="s">
        <v>21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145</v>
      </c>
      <c r="B2" s="67" t="s">
        <v>146</v>
      </c>
      <c r="C2" s="86" t="n">
        <v>2021</v>
      </c>
      <c r="D2" s="66" t="n">
        <v>2020</v>
      </c>
      <c r="E2" s="1" t="s">
        <v>147</v>
      </c>
      <c r="F2" s="22" t="n">
        <v>2019</v>
      </c>
      <c r="G2" s="1" t="s">
        <v>147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7" t="s">
        <v>31</v>
      </c>
      <c r="B3" s="87"/>
      <c r="C3" s="87"/>
      <c r="D3" s="87"/>
      <c r="E3" s="87"/>
      <c r="F3" s="87"/>
      <c r="G3" s="87"/>
      <c r="I3" s="88" t="s">
        <v>148</v>
      </c>
      <c r="J3" s="88"/>
      <c r="K3" s="88"/>
      <c r="L3" s="18" t="s">
        <v>149</v>
      </c>
      <c r="M3" s="18" t="s">
        <v>150</v>
      </c>
      <c r="N3" s="89" t="s">
        <v>151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s">
        <v>152</v>
      </c>
      <c r="B4" s="67" t="str">
        <f aca="false">IF(C4&gt;0,"+","-")</f>
        <v>-</v>
      </c>
      <c r="C4" s="90"/>
      <c r="D4" s="25" t="n">
        <v>2099322</v>
      </c>
      <c r="E4" s="91" t="n">
        <f aca="false">(+C4/D4)</f>
        <v>0</v>
      </c>
      <c r="F4" s="25"/>
      <c r="G4" s="91" t="e">
        <f aca="false">(+D4/F4)-1</f>
        <v>#DIV/0!</v>
      </c>
      <c r="I4" s="92"/>
      <c r="J4" s="92"/>
      <c r="K4" s="92"/>
      <c r="L4" s="45"/>
      <c r="M4" s="45"/>
      <c r="N4" s="93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94"/>
      <c r="B5" s="95"/>
      <c r="C5" s="95"/>
      <c r="D5" s="95"/>
      <c r="E5" s="96"/>
      <c r="F5" s="95"/>
      <c r="G5" s="96"/>
      <c r="I5" s="92"/>
      <c r="J5" s="92"/>
      <c r="K5" s="92"/>
      <c r="L5" s="45"/>
      <c r="M5" s="45"/>
      <c r="N5" s="93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153</v>
      </c>
      <c r="B6" s="67" t="str">
        <f aca="false">IF(C6&gt;0,"+","-")</f>
        <v>-</v>
      </c>
      <c r="C6" s="25"/>
      <c r="D6" s="25" t="n">
        <v>-15764</v>
      </c>
      <c r="E6" s="91" t="n">
        <f aca="false">(+C6/D6)</f>
        <v>-0</v>
      </c>
      <c r="F6" s="25"/>
      <c r="G6" s="91" t="e">
        <f aca="false">(+D6/F6)-1</f>
        <v>#DIV/0!</v>
      </c>
      <c r="I6" s="92"/>
      <c r="J6" s="92"/>
      <c r="K6" s="92"/>
      <c r="L6" s="45"/>
      <c r="M6" s="45"/>
      <c r="N6" s="93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s">
        <v>154</v>
      </c>
      <c r="B7" s="67" t="str">
        <f aca="false">IF(C7&gt;0,"+","-")</f>
        <v>-</v>
      </c>
      <c r="C7" s="25"/>
      <c r="D7" s="25" t="n">
        <v>175120</v>
      </c>
      <c r="E7" s="91" t="n">
        <f aca="false">(+C7/D7)</f>
        <v>0</v>
      </c>
      <c r="F7" s="25"/>
      <c r="G7" s="91" t="e">
        <f aca="false">(+D7/F7)-1</f>
        <v>#DIV/0!</v>
      </c>
      <c r="I7" s="92"/>
      <c r="J7" s="92"/>
      <c r="K7" s="92"/>
      <c r="L7" s="45"/>
      <c r="M7" s="45"/>
      <c r="N7" s="93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s">
        <v>155</v>
      </c>
      <c r="B8" s="67" t="str">
        <f aca="false">IF(C8&gt;0,"+","-")</f>
        <v>-</v>
      </c>
      <c r="C8" s="25"/>
      <c r="D8" s="25" t="n">
        <v>-1342856</v>
      </c>
      <c r="E8" s="91" t="n">
        <f aca="false">(+C8/D8)</f>
        <v>-0</v>
      </c>
      <c r="F8" s="25"/>
      <c r="G8" s="91" t="e">
        <f aca="false">(+D8/F8)-1</f>
        <v>#DIV/0!</v>
      </c>
      <c r="I8" s="92"/>
      <c r="J8" s="92"/>
      <c r="K8" s="92"/>
      <c r="L8" s="45"/>
      <c r="M8" s="45"/>
      <c r="N8" s="93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s">
        <v>156</v>
      </c>
      <c r="B9" s="67" t="str">
        <f aca="false">IF(C9&gt;0,"+","-")</f>
        <v>-</v>
      </c>
      <c r="C9" s="25"/>
      <c r="D9" s="25" t="n">
        <v>0</v>
      </c>
      <c r="E9" s="91" t="e">
        <f aca="false">(+C9/D9)</f>
        <v>#DIV/0!</v>
      </c>
      <c r="F9" s="25"/>
      <c r="G9" s="91" t="e">
        <f aca="false">(+D9/F9)-1</f>
        <v>#DIV/0!</v>
      </c>
      <c r="I9" s="92"/>
      <c r="J9" s="92"/>
      <c r="K9" s="92"/>
      <c r="L9" s="45"/>
      <c r="M9" s="45"/>
      <c r="N9" s="93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 t="s">
        <v>157</v>
      </c>
      <c r="B10" s="67" t="str">
        <f aca="false">IF(C10&gt;0,"+","-")</f>
        <v>-</v>
      </c>
      <c r="C10" s="25"/>
      <c r="D10" s="25" t="n">
        <v>-2816672</v>
      </c>
      <c r="E10" s="91" t="n">
        <f aca="false">(+C10/D10)</f>
        <v>-0</v>
      </c>
      <c r="F10" s="25"/>
      <c r="G10" s="91" t="e">
        <f aca="false">(+D10/F10)-1</f>
        <v>#DIV/0!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97" t="s">
        <v>158</v>
      </c>
      <c r="B11" s="67" t="str">
        <f aca="false">IF(C11&gt;0,"+","-")</f>
        <v>-</v>
      </c>
      <c r="C11" s="25"/>
      <c r="D11" s="25" t="n">
        <v>396117</v>
      </c>
      <c r="E11" s="91" t="n">
        <f aca="false">(+C11/D11)</f>
        <v>0</v>
      </c>
      <c r="F11" s="25"/>
      <c r="G11" s="91" t="e">
        <f aca="false">(+D11/F11)-1</f>
        <v>#DIV/0!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s">
        <v>159</v>
      </c>
      <c r="B12" s="67" t="str">
        <f aca="false">IF(C12&gt;0,"+","-")</f>
        <v>-</v>
      </c>
      <c r="C12" s="25"/>
      <c r="D12" s="25" t="n">
        <v>-9791</v>
      </c>
      <c r="E12" s="91" t="n">
        <f aca="false">(+C12/D12)</f>
        <v>-0</v>
      </c>
      <c r="F12" s="25"/>
      <c r="G12" s="91" t="e">
        <f aca="false">(+D12/F12)-1</f>
        <v>#DIV/0!</v>
      </c>
      <c r="I12" s="0" t="s">
        <v>160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161</v>
      </c>
      <c r="B13" s="67" t="str">
        <f aca="false">IF(C13&gt;0,"+","-")</f>
        <v>-</v>
      </c>
      <c r="C13" s="25"/>
      <c r="D13" s="25" t="n">
        <v>1369749</v>
      </c>
      <c r="E13" s="91" t="n">
        <f aca="false">(+C13/D13)</f>
        <v>0</v>
      </c>
      <c r="F13" s="25"/>
      <c r="G13" s="91" t="e">
        <f aca="false">(+D13/F13)-1</f>
        <v>#DIV/0!</v>
      </c>
      <c r="I13" s="0" t="s">
        <v>91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162</v>
      </c>
      <c r="C14" s="25"/>
      <c r="D14" s="25" t="n">
        <v>4399</v>
      </c>
      <c r="E14" s="91" t="n">
        <f aca="false">(+C14/D14)</f>
        <v>0</v>
      </c>
      <c r="F14" s="25"/>
      <c r="G14" s="91" t="e">
        <f aca="false">(+D14/F14)-1</f>
        <v>#DIV/0!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98"/>
      <c r="B15" s="99"/>
      <c r="C15" s="99"/>
      <c r="D15" s="99"/>
      <c r="E15" s="100"/>
      <c r="F15" s="99"/>
      <c r="G15" s="100"/>
      <c r="I15" s="0" t="s">
        <v>163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164</v>
      </c>
      <c r="B16" s="67" t="str">
        <f aca="false">IF(C16&gt;0,"+","-")</f>
        <v>-</v>
      </c>
      <c r="C16" s="25"/>
      <c r="D16" s="25" t="n">
        <v>-21195</v>
      </c>
      <c r="E16" s="91" t="n">
        <f aca="false">(+C16/D16)</f>
        <v>-0</v>
      </c>
      <c r="F16" s="25"/>
      <c r="G16" s="91" t="e">
        <f aca="false">(+D16/F16)-1</f>
        <v>#DIV/0!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s">
        <v>165</v>
      </c>
      <c r="B17" s="67" t="str">
        <f aca="false">IF(C17&gt;0,"+","-")</f>
        <v>-</v>
      </c>
      <c r="C17" s="25"/>
      <c r="D17" s="25" t="n">
        <v>5176</v>
      </c>
      <c r="E17" s="91" t="n">
        <f aca="false">(+C17/D17)</f>
        <v>0</v>
      </c>
      <c r="F17" s="25"/>
      <c r="G17" s="91" t="e">
        <f aca="false">(+D17/F17)-1</f>
        <v>#DIV/0!</v>
      </c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166</v>
      </c>
      <c r="B18" s="67" t="str">
        <f aca="false">IF(C18&gt;0,"+","-")</f>
        <v>-</v>
      </c>
      <c r="C18" s="25"/>
      <c r="D18" s="25" t="n">
        <f aca="false">2656424-454853</f>
        <v>2201571</v>
      </c>
      <c r="E18" s="91" t="n">
        <f aca="false">(+C18/D18)</f>
        <v>0</v>
      </c>
      <c r="F18" s="25"/>
      <c r="G18" s="91" t="e">
        <f aca="false">(+D18/F18)-1</f>
        <v>#DIV/0!</v>
      </c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01"/>
      <c r="B19" s="102"/>
      <c r="C19" s="102"/>
      <c r="D19" s="102"/>
      <c r="E19" s="103"/>
      <c r="F19" s="102"/>
      <c r="G19" s="103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167</v>
      </c>
      <c r="B20" s="67" t="str">
        <f aca="false">IF(C20&gt;0,"+","-")</f>
        <v>-</v>
      </c>
      <c r="C20" s="25"/>
      <c r="D20" s="25" t="n">
        <v>-5699</v>
      </c>
      <c r="E20" s="91" t="n">
        <f aca="false">(+C20/D20)</f>
        <v>-0</v>
      </c>
      <c r="F20" s="25"/>
      <c r="G20" s="91" t="e">
        <f aca="false">(+D20/F20)-1</f>
        <v>#DIV/0!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s">
        <v>168</v>
      </c>
      <c r="B21" s="67" t="str">
        <f aca="false">IF(C21&gt;0,"+","-")</f>
        <v>-</v>
      </c>
      <c r="C21" s="25"/>
      <c r="D21" s="25" t="n">
        <v>-67614</v>
      </c>
      <c r="E21" s="91" t="n">
        <f aca="false">(+C21/D21)</f>
        <v>-0</v>
      </c>
      <c r="F21" s="25"/>
      <c r="G21" s="91" t="e">
        <f aca="false">(+D21/F21)-1</f>
        <v>#DIV/0!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04" t="s">
        <v>169</v>
      </c>
      <c r="B22" s="105" t="n">
        <f aca="false">SUM(C4:C21)</f>
        <v>0</v>
      </c>
      <c r="C22" s="105"/>
      <c r="D22" s="106" t="n">
        <f aca="false">SUM(D4:D21)</f>
        <v>1971863</v>
      </c>
      <c r="E22" s="107" t="n">
        <f aca="false">(+C22/D22)-1</f>
        <v>-1</v>
      </c>
      <c r="F22" s="28" t="n">
        <f aca="false">SUM(F4:F21)</f>
        <v>0</v>
      </c>
      <c r="G22" s="107" t="e">
        <f aca="false">(+D22/F22)-1</f>
        <v>#DIV/0!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108" t="s">
        <v>170</v>
      </c>
      <c r="B23" s="108"/>
      <c r="C23" s="108"/>
      <c r="D23" s="108"/>
      <c r="E23" s="108"/>
      <c r="F23" s="108"/>
      <c r="G23" s="108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09"/>
      <c r="B24" s="110"/>
      <c r="C24" s="111"/>
      <c r="D24" s="111"/>
      <c r="E24" s="112"/>
      <c r="F24" s="111"/>
      <c r="G24" s="112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s">
        <v>101</v>
      </c>
      <c r="B25" s="67" t="str">
        <f aca="false">IF(C25&gt;0,"+","-")</f>
        <v>-</v>
      </c>
      <c r="C25" s="25"/>
      <c r="D25" s="25"/>
      <c r="E25" s="91" t="e">
        <f aca="false">(+C25/D25)</f>
        <v>#DIV/0!</v>
      </c>
      <c r="F25" s="25"/>
      <c r="G25" s="91" t="e">
        <f aca="false">(+D25/F25)-1</f>
        <v>#DIV/0!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171</v>
      </c>
      <c r="B26" s="67" t="str">
        <f aca="false">IF(C26&gt;0,"+","-")</f>
        <v>-</v>
      </c>
      <c r="C26" s="25"/>
      <c r="D26" s="25"/>
      <c r="E26" s="91" t="e">
        <f aca="false">(+C26/D26)</f>
        <v>#DIV/0!</v>
      </c>
      <c r="F26" s="25"/>
      <c r="G26" s="91" t="e">
        <f aca="false">(+D26/F26)-1</f>
        <v>#DIV/0!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172</v>
      </c>
      <c r="B27" s="67" t="str">
        <f aca="false">IF(C27&gt;0,"+","-")</f>
        <v>-</v>
      </c>
      <c r="C27" s="25"/>
      <c r="D27" s="25"/>
      <c r="E27" s="91" t="e">
        <f aca="false">(+C27/D27)</f>
        <v>#DIV/0!</v>
      </c>
      <c r="F27" s="25"/>
      <c r="G27" s="91" t="e">
        <f aca="false">(+D27/F27)-1</f>
        <v>#DIV/0!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s">
        <v>173</v>
      </c>
      <c r="B28" s="67" t="str">
        <f aca="false">IF(C28&gt;0,"+","-")</f>
        <v>-</v>
      </c>
      <c r="C28" s="25"/>
      <c r="D28" s="25"/>
      <c r="E28" s="91" t="e">
        <f aca="false">(+C28/D28)</f>
        <v>#DIV/0!</v>
      </c>
      <c r="F28" s="25"/>
      <c r="G28" s="91" t="e">
        <f aca="false">(+D28/F28)-1</f>
        <v>#DIV/0!</v>
      </c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s">
        <v>174</v>
      </c>
      <c r="B29" s="67" t="str">
        <f aca="false">IF(C29&gt;0,"+","-")</f>
        <v>-</v>
      </c>
      <c r="C29" s="25"/>
      <c r="D29" s="25"/>
      <c r="E29" s="91" t="e">
        <f aca="false">(+C29/D29)</f>
        <v>#DIV/0!</v>
      </c>
      <c r="F29" s="25"/>
      <c r="G29" s="91" t="e">
        <f aca="false">(+D29/F29)-1</f>
        <v>#DIV/0!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175</v>
      </c>
      <c r="B30" s="67" t="str">
        <f aca="false">IF(C30&gt;0,"+","-")</f>
        <v>-</v>
      </c>
      <c r="C30" s="25"/>
      <c r="D30" s="25"/>
      <c r="E30" s="91" t="e">
        <f aca="false">(+C30/D30)</f>
        <v>#DIV/0!</v>
      </c>
      <c r="F30" s="25"/>
      <c r="G30" s="91" t="e">
        <f aca="false">(+D30/F30)-1</f>
        <v>#DIV/0!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0" t="s">
        <v>176</v>
      </c>
      <c r="B31" s="67" t="str">
        <f aca="false">IF(C31&gt;0,"+","-")</f>
        <v>-</v>
      </c>
      <c r="C31" s="25"/>
      <c r="D31" s="25"/>
      <c r="E31" s="91" t="e">
        <f aca="false">(+C31/D31)</f>
        <v>#DIV/0!</v>
      </c>
      <c r="F31" s="25"/>
      <c r="G31" s="91" t="e">
        <f aca="false">(+D31/F31)-1</f>
        <v>#DIV/0!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0" t="s">
        <v>177</v>
      </c>
      <c r="B32" s="67" t="str">
        <f aca="false">IF(C32&gt;0,"+","-")</f>
        <v>-</v>
      </c>
      <c r="C32" s="25"/>
      <c r="D32" s="25"/>
      <c r="E32" s="91" t="e">
        <f aca="false">(+C32/D32)</f>
        <v>#DIV/0!</v>
      </c>
      <c r="F32" s="25"/>
      <c r="G32" s="91" t="e">
        <f aca="false">(+D32/F32)-1</f>
        <v>#DIV/0!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105</v>
      </c>
      <c r="B33" s="67" t="str">
        <f aca="false">IF(C33&gt;0,"+","-")</f>
        <v>-</v>
      </c>
      <c r="C33" s="25"/>
      <c r="D33" s="25"/>
      <c r="E33" s="91" t="e">
        <f aca="false">(+C33/D33)</f>
        <v>#DIV/0!</v>
      </c>
      <c r="F33" s="25"/>
      <c r="G33" s="91" t="e">
        <f aca="false">(+D33/F33)-1</f>
        <v>#DIV/0!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0" t="s">
        <v>113</v>
      </c>
      <c r="B34" s="67" t="str">
        <f aca="false">IF(C34&gt;0,"+","-")</f>
        <v>-</v>
      </c>
      <c r="C34" s="25"/>
      <c r="D34" s="25"/>
      <c r="E34" s="91" t="e">
        <f aca="false">(+C34/D34)</f>
        <v>#DIV/0!</v>
      </c>
      <c r="F34" s="25"/>
      <c r="G34" s="91" t="e">
        <f aca="false">(+D34/F34)-1</f>
        <v>#DIV/0!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0" t="s">
        <v>178</v>
      </c>
      <c r="B35" s="67" t="str">
        <f aca="false">IF(C35&gt;0,"+","-")</f>
        <v>-</v>
      </c>
      <c r="C35" s="25"/>
      <c r="D35" s="25"/>
      <c r="E35" s="91" t="e">
        <f aca="false">(+C35/D35)</f>
        <v>#DIV/0!</v>
      </c>
      <c r="F35" s="25"/>
      <c r="G35" s="91" t="e">
        <f aca="false">(+D35/F35)-1</f>
        <v>#DIV/0!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113"/>
      <c r="B36" s="114"/>
      <c r="C36" s="115"/>
      <c r="D36" s="115"/>
      <c r="E36" s="116"/>
      <c r="F36" s="115"/>
      <c r="G36" s="116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0" t="s">
        <v>98</v>
      </c>
      <c r="B37" s="67" t="str">
        <f aca="false">IF(C37&gt;0,"+","-")</f>
        <v>-</v>
      </c>
      <c r="C37" s="25"/>
      <c r="D37" s="25"/>
      <c r="E37" s="91" t="e">
        <f aca="false">(+C37/D37)</f>
        <v>#DIV/0!</v>
      </c>
      <c r="F37" s="25"/>
      <c r="G37" s="91" t="e">
        <f aca="false">(+D37/F37)-1</f>
        <v>#DIV/0!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0" t="s">
        <v>179</v>
      </c>
      <c r="B38" s="67" t="str">
        <f aca="false">IF(C38&gt;0,"+","-")</f>
        <v>-</v>
      </c>
      <c r="C38" s="25"/>
      <c r="D38" s="25"/>
      <c r="E38" s="91" t="e">
        <f aca="false">(+C38/D38)</f>
        <v>#DIV/0!</v>
      </c>
      <c r="F38" s="25"/>
      <c r="G38" s="91" t="e">
        <f aca="false">(+D38/F38)-1</f>
        <v>#DIV/0!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102</v>
      </c>
      <c r="B39" s="67" t="str">
        <f aca="false">IF(C39&gt;0,"+","-")</f>
        <v>-</v>
      </c>
      <c r="C39" s="25"/>
      <c r="D39" s="25"/>
      <c r="E39" s="91" t="e">
        <f aca="false">(+C39/D39)</f>
        <v>#DIV/0!</v>
      </c>
      <c r="F39" s="25"/>
      <c r="G39" s="91" t="e">
        <f aca="false">(+D39/F39)-1</f>
        <v>#DIV/0!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180</v>
      </c>
      <c r="B40" s="67" t="str">
        <f aca="false">IF(C40&gt;0,"+","-")</f>
        <v>-</v>
      </c>
      <c r="C40" s="25"/>
      <c r="D40" s="25"/>
      <c r="E40" s="91" t="e">
        <f aca="false">(+C40/D40)</f>
        <v>#DIV/0!</v>
      </c>
      <c r="F40" s="25"/>
      <c r="G40" s="91" t="e">
        <f aca="false">(+D40/F40)-1</f>
        <v>#DIV/0!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0" t="s">
        <v>181</v>
      </c>
      <c r="B41" s="67" t="str">
        <f aca="false">IF(C41&gt;0,"+","-")</f>
        <v>-</v>
      </c>
      <c r="C41" s="25"/>
      <c r="D41" s="25"/>
      <c r="E41" s="91" t="e">
        <f aca="false">(+C41/D41)</f>
        <v>#DIV/0!</v>
      </c>
      <c r="F41" s="25"/>
      <c r="G41" s="91" t="e">
        <f aca="false">(+D41/F41)-1</f>
        <v>#DIV/0!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0" t="s">
        <v>182</v>
      </c>
      <c r="B42" s="67" t="str">
        <f aca="false">IF(C42&gt;0,"+","-")</f>
        <v>-</v>
      </c>
      <c r="C42" s="25"/>
      <c r="D42" s="25"/>
      <c r="E42" s="91" t="e">
        <f aca="false">(+C42/D42)</f>
        <v>#DIV/0!</v>
      </c>
      <c r="F42" s="25"/>
      <c r="G42" s="91" t="e">
        <f aca="false">(+D42/F42)-1</f>
        <v>#DIV/0!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04" t="s">
        <v>169</v>
      </c>
      <c r="B43" s="105" t="n">
        <f aca="false">SUM(C25:C42)</f>
        <v>0</v>
      </c>
      <c r="C43" s="105"/>
      <c r="D43" s="28" t="n">
        <f aca="false">SUM(D25:D42)</f>
        <v>0</v>
      </c>
      <c r="E43" s="107" t="e">
        <f aca="false">(+C43/D43)-1</f>
        <v>#DIV/0!</v>
      </c>
      <c r="F43" s="28" t="n">
        <f aca="false">SUM(F25:F42)</f>
        <v>0</v>
      </c>
      <c r="G43" s="107" t="e">
        <f aca="false">(+D43/F43)-1</f>
        <v>#DIV/0!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35" t="s">
        <v>183</v>
      </c>
      <c r="B44" s="35"/>
      <c r="C44" s="35"/>
      <c r="D44" s="35"/>
      <c r="E44" s="35"/>
      <c r="F44" s="35"/>
      <c r="G44" s="35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0" t="s">
        <v>184</v>
      </c>
      <c r="B45" s="67" t="str">
        <f aca="false">IF(C45&gt;0,"+","-")</f>
        <v>-</v>
      </c>
      <c r="C45" s="25"/>
      <c r="D45" s="25"/>
      <c r="E45" s="91" t="e">
        <f aca="false">(+C45/D45)</f>
        <v>#DIV/0!</v>
      </c>
      <c r="F45" s="25"/>
      <c r="G45" s="91" t="e">
        <f aca="false">(+D45/F45)-1</f>
        <v>#DIV/0!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0" t="s">
        <v>185</v>
      </c>
      <c r="B46" s="67" t="str">
        <f aca="false">IF(C46&gt;0,"+","-")</f>
        <v>-</v>
      </c>
      <c r="C46" s="25"/>
      <c r="D46" s="25"/>
      <c r="E46" s="91" t="e">
        <f aca="false">(+C46/D46)</f>
        <v>#DIV/0!</v>
      </c>
      <c r="F46" s="25"/>
      <c r="G46" s="91" t="e">
        <f aca="false">(+D46/F46)-1</f>
        <v>#DIV/0!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0" t="s">
        <v>186</v>
      </c>
      <c r="B47" s="67" t="str">
        <f aca="false">IF(C47&gt;0,"+","-")</f>
        <v>-</v>
      </c>
      <c r="C47" s="25"/>
      <c r="D47" s="25"/>
      <c r="E47" s="91" t="e">
        <f aca="false">(+C47/D47)</f>
        <v>#DIV/0!</v>
      </c>
      <c r="F47" s="23"/>
      <c r="G47" s="91" t="e">
        <f aca="false">(+D47/F47)-1</f>
        <v>#DIV/0!</v>
      </c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187</v>
      </c>
      <c r="B48" s="67" t="str">
        <f aca="false">IF(C48&gt;0,"+","-")</f>
        <v>-</v>
      </c>
      <c r="C48" s="25"/>
      <c r="D48" s="25"/>
      <c r="E48" s="91" t="e">
        <f aca="false">(+C48/D48)</f>
        <v>#DIV/0!</v>
      </c>
      <c r="F48" s="25"/>
      <c r="G48" s="91" t="e">
        <f aca="false">(+D48/F48)-1</f>
        <v>#DIV/0!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188</v>
      </c>
      <c r="B49" s="67" t="str">
        <f aca="false">IF(C49&gt;0,"+","-")</f>
        <v>-</v>
      </c>
      <c r="C49" s="25"/>
      <c r="D49" s="25"/>
      <c r="E49" s="91" t="e">
        <f aca="false">(+C49/D49)</f>
        <v>#DIV/0!</v>
      </c>
      <c r="F49" s="25"/>
      <c r="G49" s="91" t="e">
        <f aca="false">(+D49/F49)-1</f>
        <v>#DIV/0!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0" t="s">
        <v>189</v>
      </c>
      <c r="B50" s="67" t="str">
        <f aca="false">IF(C50&gt;0,"+","-")</f>
        <v>-</v>
      </c>
      <c r="C50" s="25"/>
      <c r="D50" s="25"/>
      <c r="E50" s="91" t="e">
        <f aca="false">(+C50/D50)</f>
        <v>#DIV/0!</v>
      </c>
      <c r="F50" s="25"/>
      <c r="G50" s="91" t="e">
        <f aca="false">(+D50/F50)-1</f>
        <v>#DIV/0!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04" t="s">
        <v>169</v>
      </c>
      <c r="B51" s="117" t="n">
        <f aca="false">SUM(C45:C50)</f>
        <v>0</v>
      </c>
      <c r="C51" s="117"/>
      <c r="D51" s="28" t="n">
        <f aca="false">SUM(D45:D50)</f>
        <v>0</v>
      </c>
      <c r="E51" s="107" t="e">
        <f aca="false">(+C51/D51)-1</f>
        <v>#DIV/0!</v>
      </c>
      <c r="F51" s="28" t="n">
        <f aca="false">SUM(F45:F50)</f>
        <v>0</v>
      </c>
      <c r="G51" s="107" t="e">
        <f aca="false">(+E51/F51)-1</f>
        <v>#DIV/0!</v>
      </c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118" t="s">
        <v>190</v>
      </c>
      <c r="B52" s="118"/>
      <c r="C52" s="118"/>
      <c r="D52" s="118"/>
      <c r="E52" s="118"/>
      <c r="F52" s="118"/>
      <c r="G52" s="118"/>
      <c r="L52" s="0"/>
      <c r="M52" s="0"/>
      <c r="N52" s="0"/>
    </row>
    <row r="53" customFormat="false" ht="12.8" hidden="false" customHeight="false" outlineLevel="0" collapsed="false">
      <c r="A53" s="31" t="s">
        <v>191</v>
      </c>
      <c r="B53" s="67" t="str">
        <f aca="false">IF(C53&gt;0,"+","-")</f>
        <v>-</v>
      </c>
      <c r="C53" s="25"/>
      <c r="D53" s="25"/>
      <c r="E53" s="91" t="e">
        <f aca="false">(+C53/D53)</f>
        <v>#DIV/0!</v>
      </c>
      <c r="F53" s="25"/>
      <c r="G53" s="91" t="e">
        <f aca="false">(+D53/F53)-1</f>
        <v>#DIV/0!</v>
      </c>
    </row>
    <row r="54" customFormat="false" ht="12.8" hidden="false" customHeight="false" outlineLevel="0" collapsed="false">
      <c r="A54" s="31" t="s">
        <v>192</v>
      </c>
      <c r="B54" s="67" t="str">
        <f aca="false">IF(C54&gt;0,"+","-")</f>
        <v>-</v>
      </c>
      <c r="C54" s="25"/>
      <c r="D54" s="25"/>
      <c r="E54" s="91" t="e">
        <f aca="false">(+C54/D54)</f>
        <v>#DIV/0!</v>
      </c>
      <c r="F54" s="25"/>
      <c r="G54" s="91" t="e">
        <f aca="false">(+D54/F54)-1</f>
        <v>#DIV/0!</v>
      </c>
    </row>
    <row r="55" customFormat="false" ht="12.8" hidden="false" customHeight="false" outlineLevel="0" collapsed="false">
      <c r="A55" s="0" t="s">
        <v>193</v>
      </c>
      <c r="B55" s="67" t="str">
        <f aca="false">IF(C55&gt;0,"+","-")</f>
        <v>-</v>
      </c>
      <c r="C55" s="25"/>
      <c r="D55" s="25"/>
      <c r="E55" s="91" t="e">
        <f aca="false">(+C55/D55)</f>
        <v>#DIV/0!</v>
      </c>
      <c r="F55" s="25"/>
      <c r="G55" s="91" t="e">
        <f aca="false">(+D55/F55)-1</f>
        <v>#DIV/0!</v>
      </c>
    </row>
    <row r="56" customFormat="false" ht="19.4" hidden="false" customHeight="false" outlineLevel="0" collapsed="false">
      <c r="A56" s="119" t="s">
        <v>194</v>
      </c>
      <c r="B56" s="67" t="str">
        <f aca="false">IF(C56&gt;0,"+","-")</f>
        <v>-</v>
      </c>
      <c r="C56" s="25"/>
      <c r="D56" s="25"/>
      <c r="E56" s="91" t="e">
        <f aca="false">(+C56/D56)</f>
        <v>#DIV/0!</v>
      </c>
      <c r="F56" s="25"/>
      <c r="G56" s="91" t="e">
        <f aca="false">(+D56/F56)-1</f>
        <v>#DIV/0!</v>
      </c>
    </row>
    <row r="57" customFormat="false" ht="12.8" hidden="false" customHeight="false" outlineLevel="0" collapsed="false">
      <c r="A57" s="0" t="s">
        <v>195</v>
      </c>
      <c r="B57" s="67" t="str">
        <f aca="false">IF(C57&gt;0,"+","-")</f>
        <v>-</v>
      </c>
      <c r="C57" s="25"/>
      <c r="D57" s="25"/>
      <c r="E57" s="91" t="e">
        <f aca="false">(+C57/D57)</f>
        <v>#DIV/0!</v>
      </c>
      <c r="F57" s="25"/>
      <c r="G57" s="91" t="e">
        <f aca="false">(+D57/F57)-1</f>
        <v>#DIV/0!</v>
      </c>
    </row>
    <row r="58" customFormat="false" ht="12.8" hidden="false" customHeight="false" outlineLevel="0" collapsed="false">
      <c r="A58" s="0" t="s">
        <v>196</v>
      </c>
      <c r="B58" s="67" t="str">
        <f aca="false">IF(C58&gt;0,"+","-")</f>
        <v>-</v>
      </c>
      <c r="C58" s="25"/>
      <c r="D58" s="25"/>
      <c r="E58" s="91" t="e">
        <f aca="false">(+C58/D58)</f>
        <v>#DIV/0!</v>
      </c>
      <c r="F58" s="25"/>
      <c r="G58" s="91" t="e">
        <f aca="false">(+D58/F58)-1</f>
        <v>#DIV/0!</v>
      </c>
    </row>
    <row r="59" customFormat="false" ht="12.8" hidden="false" customHeight="false" outlineLevel="0" collapsed="false">
      <c r="A59" s="0" t="s">
        <v>197</v>
      </c>
      <c r="B59" s="67" t="str">
        <f aca="false">IF(C59&gt;0,"+","-")</f>
        <v>-</v>
      </c>
      <c r="C59" s="25"/>
      <c r="D59" s="25"/>
      <c r="E59" s="91" t="e">
        <f aca="false">(+C59/D59)</f>
        <v>#DIV/0!</v>
      </c>
      <c r="F59" s="25"/>
      <c r="G59" s="91" t="e">
        <f aca="false">(+D59/F59)-1</f>
        <v>#DIV/0!</v>
      </c>
    </row>
    <row r="60" customFormat="false" ht="12.8" hidden="false" customHeight="false" outlineLevel="0" collapsed="false">
      <c r="A60" s="0" t="s">
        <v>198</v>
      </c>
      <c r="B60" s="67" t="str">
        <f aca="false">IF(C60&gt;0,"+","-")</f>
        <v>-</v>
      </c>
      <c r="C60" s="25"/>
      <c r="D60" s="25"/>
      <c r="E60" s="91" t="e">
        <f aca="false">(+C60/D60)</f>
        <v>#DIV/0!</v>
      </c>
      <c r="F60" s="25"/>
      <c r="G60" s="91" t="e">
        <f aca="false">(+D60/F60)-1</f>
        <v>#DIV/0!</v>
      </c>
    </row>
    <row r="61" customFormat="false" ht="12.8" hidden="false" customHeight="false" outlineLevel="0" collapsed="false">
      <c r="A61" s="104" t="s">
        <v>169</v>
      </c>
      <c r="B61" s="117" t="n">
        <f aca="false">SUM(C53:C60)</f>
        <v>0</v>
      </c>
      <c r="C61" s="117"/>
      <c r="D61" s="28" t="n">
        <f aca="false">SUM(D53:D60)</f>
        <v>0</v>
      </c>
      <c r="E61" s="107" t="e">
        <f aca="false">(+C61/D61)-1</f>
        <v>#DIV/0!</v>
      </c>
      <c r="F61" s="28" t="n">
        <f aca="false">SUM(F53:F60)</f>
        <v>0</v>
      </c>
      <c r="G61" s="107" t="e">
        <f aca="false">(+E61/F61)-1</f>
        <v>#DIV/0!</v>
      </c>
    </row>
    <row r="62" customFormat="false" ht="12.8" hidden="false" customHeight="false" outlineLevel="0" collapsed="false">
      <c r="A62" s="120" t="s">
        <v>199</v>
      </c>
      <c r="B62" s="120"/>
      <c r="C62" s="120"/>
      <c r="D62" s="120"/>
      <c r="E62" s="120"/>
      <c r="F62" s="120"/>
      <c r="G62" s="120"/>
    </row>
    <row r="63" customFormat="false" ht="12.8" hidden="false" customHeight="false" outlineLevel="0" collapsed="false">
      <c r="A63" s="104" t="s">
        <v>200</v>
      </c>
      <c r="B63" s="121"/>
      <c r="C63" s="121"/>
      <c r="D63" s="28"/>
      <c r="E63" s="107" t="e">
        <f aca="false">(+C63/D63)-1</f>
        <v>#DIV/0!</v>
      </c>
      <c r="F63" s="28"/>
      <c r="G63" s="107" t="e">
        <f aca="false">(+E63/F63)-1</f>
        <v>#DIV/0!</v>
      </c>
    </row>
    <row r="64" customFormat="false" ht="12.8" hidden="false" customHeight="false" outlineLevel="0" collapsed="false">
      <c r="A64" s="104" t="s">
        <v>201</v>
      </c>
      <c r="B64" s="121" t="n">
        <f aca="false">+B22+B51+B61</f>
        <v>0</v>
      </c>
      <c r="C64" s="121"/>
      <c r="D64" s="28" t="n">
        <f aca="false">+D61+D51+D22</f>
        <v>1971863</v>
      </c>
      <c r="E64" s="107" t="n">
        <f aca="false">(+C64/D64)-1</f>
        <v>-1</v>
      </c>
      <c r="F64" s="28" t="n">
        <f aca="false">+F61+F51+F22</f>
        <v>0</v>
      </c>
      <c r="G64" s="107" t="e">
        <f aca="false">(+E64/F64)-1</f>
        <v>#DIV/0!</v>
      </c>
    </row>
    <row r="65" customFormat="false" ht="12.8" hidden="false" customHeight="false" outlineLevel="0" collapsed="false">
      <c r="A65" s="104" t="s">
        <v>202</v>
      </c>
      <c r="B65" s="121" t="n">
        <f aca="false">+B63+B64</f>
        <v>0</v>
      </c>
      <c r="C65" s="121"/>
      <c r="D65" s="28" t="n">
        <f aca="false">+D63+D64</f>
        <v>1971863</v>
      </c>
      <c r="E65" s="107" t="n">
        <f aca="false">(+C65/D65)-1</f>
        <v>-1</v>
      </c>
      <c r="F65" s="28" t="n">
        <f aca="false">+F63+F64</f>
        <v>0</v>
      </c>
      <c r="G65" s="107" t="e">
        <f aca="false">(+E65/F65)-1</f>
        <v>#DIV/0!</v>
      </c>
    </row>
    <row r="66" customFormat="false" ht="12.8" hidden="false" customHeight="false" outlineLevel="0" collapsed="false">
      <c r="A66" s="120"/>
      <c r="B66" s="120"/>
      <c r="C66" s="120"/>
      <c r="D66" s="120"/>
      <c r="E66" s="120"/>
      <c r="F66" s="120"/>
      <c r="G66" s="120"/>
    </row>
  </sheetData>
  <mergeCells count="19">
    <mergeCell ref="A3:G3"/>
    <mergeCell ref="I3:K3"/>
    <mergeCell ref="I4:K4"/>
    <mergeCell ref="I5:K5"/>
    <mergeCell ref="I7:K7"/>
    <mergeCell ref="I8:K8"/>
    <mergeCell ref="I9:K9"/>
    <mergeCell ref="B22:C22"/>
    <mergeCell ref="A23:G23"/>
    <mergeCell ref="B43:C43"/>
    <mergeCell ref="A44:G44"/>
    <mergeCell ref="B51:C51"/>
    <mergeCell ref="A52:G52"/>
    <mergeCell ref="B61:C61"/>
    <mergeCell ref="A62:G62"/>
    <mergeCell ref="B63:C63"/>
    <mergeCell ref="B64:C64"/>
    <mergeCell ref="B65:C65"/>
    <mergeCell ref="A66:G66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2022-05-28T06:39:28Z</dcterms:modified>
  <cp:revision>26</cp:revision>
  <dc:subject/>
  <dc:title/>
</cp:coreProperties>
</file>