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пис" sheetId="1" state="visible" r:id="rId2"/>
    <sheet name="Готовински принос" sheetId="2" state="visible" r:id="rId3"/>
    <sheet name="Средства" sheetId="3" state="visible" r:id="rId4"/>
    <sheet name="Бонитет и насока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5" authorId="0">
      <text>
        <r>
          <rPr>
            <sz val="10"/>
            <color rgb="FF0000FF"/>
            <rFont val="Arial"/>
            <family val="2"/>
            <charset val="1"/>
          </rPr>
          <t xml:space="preserve">https://www.investopedia.com/terms/d/debtequityratio.asp
</t>
        </r>
      </text>
    </comment>
  </commentList>
</comments>
</file>

<file path=xl/sharedStrings.xml><?xml version="1.0" encoding="utf-8"?>
<sst xmlns="http://schemas.openxmlformats.org/spreadsheetml/2006/main" count="201" uniqueCount="179">
  <si>
    <t xml:space="preserve">Линкови</t>
  </si>
  <si>
    <t xml:space="preserve">Готвински принос</t>
  </si>
  <si>
    <t xml:space="preserve">Назив на АД</t>
  </si>
  <si>
    <t xml:space="preserve">Макпетрол АД Скопје</t>
  </si>
  <si>
    <t xml:space="preserve">Основана</t>
  </si>
  <si>
    <t xml:space="preserve">Средства</t>
  </si>
  <si>
    <t xml:space="preserve">Тикер</t>
  </si>
  <si>
    <t xml:space="preserve">MPT</t>
  </si>
  <si>
    <t xml:space="preserve">Дејност</t>
  </si>
  <si>
    <t xml:space="preserve">(2) – Енергетика</t>
  </si>
  <si>
    <t xml:space="preserve">ред бр.</t>
  </si>
  <si>
    <t xml:space="preserve">Продукт</t>
  </si>
  <si>
    <t xml:space="preserve">Опис</t>
  </si>
  <si>
    <t xml:space="preserve">Субститут</t>
  </si>
  <si>
    <t xml:space="preserve">Конкуретност</t>
  </si>
  <si>
    <t xml:space="preserve">Бонитет и насока</t>
  </si>
  <si>
    <t xml:space="preserve">Цена</t>
  </si>
  <si>
    <t xml:space="preserve">Број на акции</t>
  </si>
  <si>
    <t xml:space="preserve">Тек. Средства</t>
  </si>
  <si>
    <t xml:space="preserve">Добавувачи</t>
  </si>
  <si>
    <t xml:space="preserve">Ново конкурентост</t>
  </si>
  <si>
    <t xml:space="preserve">Тек. Конкуренција</t>
  </si>
  <si>
    <t xml:space="preserve"> Субститути</t>
  </si>
  <si>
    <t xml:space="preserve">Потрошувачи</t>
  </si>
  <si>
    <t xml:space="preserve">Назад</t>
  </si>
  <si>
    <t xml:space="preserve">20Q1</t>
  </si>
  <si>
    <t xml:space="preserve">20Q2</t>
  </si>
  <si>
    <t xml:space="preserve">20Q3</t>
  </si>
  <si>
    <t xml:space="preserve">20Q4</t>
  </si>
  <si>
    <t xml:space="preserve">21Q1</t>
  </si>
  <si>
    <t xml:space="preserve">21Q2</t>
  </si>
  <si>
    <t xml:space="preserve">21Q3</t>
  </si>
  <si>
    <t xml:space="preserve">21Q4</t>
  </si>
  <si>
    <t xml:space="preserve">22Q1</t>
  </si>
  <si>
    <t xml:space="preserve">Оперативни текови</t>
  </si>
  <si>
    <t xml:space="preserve">Бруто Приходи</t>
  </si>
  <si>
    <t xml:space="preserve">Трош за произ/наб.</t>
  </si>
  <si>
    <t xml:space="preserve">Бруто Добивка (COGS)</t>
  </si>
  <si>
    <t xml:space="preserve">Трош за продажба</t>
  </si>
  <si>
    <t xml:space="preserve">Трош за истр. и раз.</t>
  </si>
  <si>
    <t xml:space="preserve">Трош за админ. и мен.</t>
  </si>
  <si>
    <t xml:space="preserve">Оперативни трошоци</t>
  </si>
  <si>
    <t xml:space="preserve">Оперативна добивка (EBITDA)</t>
  </si>
  <si>
    <t xml:space="preserve">Финансирање</t>
  </si>
  <si>
    <t xml:space="preserve">Приходи од финансирање</t>
  </si>
  <si>
    <t xml:space="preserve">Расходи од финансирање</t>
  </si>
  <si>
    <t xml:space="preserve">Добивка од финан.</t>
  </si>
  <si>
    <t xml:space="preserve">Други текови</t>
  </si>
  <si>
    <t xml:space="preserve">Приходи од други текови</t>
  </si>
  <si>
    <t xml:space="preserve">Расходи од други текови</t>
  </si>
  <si>
    <t xml:space="preserve">Добивка од други текови</t>
  </si>
  <si>
    <t xml:space="preserve">Вкупно</t>
  </si>
  <si>
    <t xml:space="preserve">Добивка пред даночење (EBT)</t>
  </si>
  <si>
    <t xml:space="preserve">Даноци</t>
  </si>
  <si>
    <t xml:space="preserve">Нето добивка/Профит</t>
  </si>
  <si>
    <t xml:space="preserve">Модел</t>
  </si>
  <si>
    <t xml:space="preserve">Стапка на созревање</t>
  </si>
  <si>
    <t xml:space="preserve">Дисконтна стапка</t>
  </si>
  <si>
    <t xml:space="preserve">Нето Сегашна Вредност</t>
  </si>
  <si>
    <t xml:space="preserve">Вредност</t>
  </si>
  <si>
    <t xml:space="preserve">Цена по акција</t>
  </si>
  <si>
    <t xml:space="preserve">Пазарна цена</t>
  </si>
  <si>
    <t xml:space="preserve">Разлика (Профит/Разлика)</t>
  </si>
  <si>
    <t xml:space="preserve">Дивиденда</t>
  </si>
  <si>
    <t xml:space="preserve">Вредност </t>
  </si>
  <si>
    <t xml:space="preserve">по 10год</t>
  </si>
  <si>
    <t xml:space="preserve">Куповна цена</t>
  </si>
  <si>
    <t xml:space="preserve">Апс. Разлика (Профит/Разлика)</t>
  </si>
  <si>
    <t xml:space="preserve">Годишна</t>
  </si>
  <si>
    <t xml:space="preserve">Бруто Маржа</t>
  </si>
  <si>
    <t xml:space="preserve">Оперативна Маржа</t>
  </si>
  <si>
    <t xml:space="preserve">Профит Маржа</t>
  </si>
  <si>
    <t xml:space="preserve">Данок</t>
  </si>
  <si>
    <t xml:space="preserve">Удели на приходи</t>
  </si>
  <si>
    <t xml:space="preserve">Приход од продажба</t>
  </si>
  <si>
    <t xml:space="preserve">Приход од финансирање</t>
  </si>
  <si>
    <t xml:space="preserve">Приход од други текови</t>
  </si>
  <si>
    <t xml:space="preserve">Пораст на приход г/г</t>
  </si>
  <si>
    <t xml:space="preserve">Пораст на трошоци за продажба г/г</t>
  </si>
  <si>
    <t xml:space="preserve">Пораст на оперативни трош г/г</t>
  </si>
  <si>
    <t xml:space="preserve">Прод. Пораст на опер. Приход </t>
  </si>
  <si>
    <t xml:space="preserve">Пораст на профит</t>
  </si>
  <si>
    <t xml:space="preserve">Вредносни</t>
  </si>
  <si>
    <t xml:space="preserve">Поврат на средства</t>
  </si>
  <si>
    <t xml:space="preserve">Поврат на капитал</t>
  </si>
  <si>
    <t xml:space="preserve">Цена/Добивка</t>
  </si>
  <si>
    <t xml:space="preserve">Цена/По сметководствена вред.</t>
  </si>
  <si>
    <t xml:space="preserve">Должнички</t>
  </si>
  <si>
    <t xml:space="preserve">Покритие на капитал со долг</t>
  </si>
  <si>
    <t xml:space="preserve">Долг/Средства</t>
  </si>
  <si>
    <t xml:space="preserve">ДАТУМ</t>
  </si>
  <si>
    <t xml:space="preserve">Тековни средства</t>
  </si>
  <si>
    <t xml:space="preserve">Тековни обврски</t>
  </si>
  <si>
    <t xml:space="preserve">Пари</t>
  </si>
  <si>
    <t xml:space="preserve">Обврски спрема добавувачи</t>
  </si>
  <si>
    <t xml:space="preserve">Парични еквиваленти</t>
  </si>
  <si>
    <t xml:space="preserve">Обврски спрема државата</t>
  </si>
  <si>
    <t xml:space="preserve">Побарувања од купувачи</t>
  </si>
  <si>
    <t xml:space="preserve">Обврски за краткорочни обврски</t>
  </si>
  <si>
    <t xml:space="preserve">Побарувања (останати)</t>
  </si>
  <si>
    <t xml:space="preserve">Краткорочни резервирања</t>
  </si>
  <si>
    <t xml:space="preserve">Краткорочни вложувања</t>
  </si>
  <si>
    <t xml:space="preserve">Останати краткорочни обврски</t>
  </si>
  <si>
    <t xml:space="preserve">Залиха</t>
  </si>
  <si>
    <t xml:space="preserve">ПВР</t>
  </si>
  <si>
    <t xml:space="preserve">АВР</t>
  </si>
  <si>
    <t xml:space="preserve">Постојани обврски</t>
  </si>
  <si>
    <t xml:space="preserve">Постојани средства</t>
  </si>
  <si>
    <t xml:space="preserve">Обврски за долгорочни кредити</t>
  </si>
  <si>
    <t xml:space="preserve">Недвижност</t>
  </si>
  <si>
    <t xml:space="preserve">Долго. обврски кон добавувачи</t>
  </si>
  <si>
    <t xml:space="preserve">Опрема</t>
  </si>
  <si>
    <t xml:space="preserve">Останати долго. Резервирања</t>
  </si>
  <si>
    <t xml:space="preserve">Биолошки средства</t>
  </si>
  <si>
    <t xml:space="preserve">Одложени даночни обврски</t>
  </si>
  <si>
    <t xml:space="preserve">Долгорочни вложувања</t>
  </si>
  <si>
    <t xml:space="preserve">Долгорочни обврски</t>
  </si>
  <si>
    <t xml:space="preserve">Побарувања по долгорочни вло.</t>
  </si>
  <si>
    <t xml:space="preserve">Нематријални средства</t>
  </si>
  <si>
    <t xml:space="preserve">Вкупно обврски</t>
  </si>
  <si>
    <t xml:space="preserve">Вложувања во хартии од вред.</t>
  </si>
  <si>
    <t xml:space="preserve">Вложувања во прид. Претпиа.</t>
  </si>
  <si>
    <t xml:space="preserve">Капитал</t>
  </si>
  <si>
    <t xml:space="preserve">Останати долгорочни средства</t>
  </si>
  <si>
    <t xml:space="preserve">Основна главина</t>
  </si>
  <si>
    <t xml:space="preserve">Долгорочни средства</t>
  </si>
  <si>
    <t xml:space="preserve">Резерви</t>
  </si>
  <si>
    <t xml:space="preserve">Акумулирана добивка/загуба</t>
  </si>
  <si>
    <t xml:space="preserve">Вкупно средства</t>
  </si>
  <si>
    <t xml:space="preserve">Вкупно капитал</t>
  </si>
  <si>
    <t xml:space="preserve">Вкупно пари</t>
  </si>
  <si>
    <t xml:space="preserve">Вкупно пасива</t>
  </si>
  <si>
    <t xml:space="preserve">$Средства.G19=/</t>
  </si>
  <si>
    <t xml:space="preserve">Ставка</t>
  </si>
  <si>
    <t xml:space="preserve">+/-</t>
  </si>
  <si>
    <t xml:space="preserve">Разлика</t>
  </si>
  <si>
    <t xml:space="preserve">Издадени должнички хартии од вредност</t>
  </si>
  <si>
    <t xml:space="preserve">Камата</t>
  </si>
  <si>
    <t xml:space="preserve">Издавање</t>
  </si>
  <si>
    <t xml:space="preserve">Доспевање</t>
  </si>
  <si>
    <t xml:space="preserve">Нето добивка/загуба</t>
  </si>
  <si>
    <t xml:space="preserve">Амортизација</t>
  </si>
  <si>
    <t xml:space="preserve">Залихи</t>
  </si>
  <si>
    <t xml:space="preserve">Поб. на купувачите</t>
  </si>
  <si>
    <t xml:space="preserve">Поб. за издад. аванси</t>
  </si>
  <si>
    <t xml:space="preserve">Оштетување на сред. и рез.</t>
  </si>
  <si>
    <t xml:space="preserve">Останати кратк. поб.</t>
  </si>
  <si>
    <t xml:space="preserve">Долг/Капитал</t>
  </si>
  <si>
    <t xml:space="preserve">Покритие на камата</t>
  </si>
  <si>
    <t xml:space="preserve">Обврски кон добав</t>
  </si>
  <si>
    <t xml:space="preserve">Обврски за при. аванси</t>
  </si>
  <si>
    <t xml:space="preserve">Поврат на побарувања</t>
  </si>
  <si>
    <t xml:space="preserve">Останати кратк обв.</t>
  </si>
  <si>
    <t xml:space="preserve">Рас./при од камати</t>
  </si>
  <si>
    <t xml:space="preserve">Дивиденди</t>
  </si>
  <si>
    <t xml:space="preserve">Расходи за платен данок</t>
  </si>
  <si>
    <t xml:space="preserve">Осн. Капитална доб/заг</t>
  </si>
  <si>
    <t xml:space="preserve">Вло. Капитална доб/заг</t>
  </si>
  <si>
    <t xml:space="preserve">Ост. Парични при/одл.</t>
  </si>
  <si>
    <t xml:space="preserve">Нето прилив/одлив</t>
  </si>
  <si>
    <t xml:space="preserve">Инвестициони активности</t>
  </si>
  <si>
    <t xml:space="preserve">Набавка на инв. Сред.</t>
  </si>
  <si>
    <t xml:space="preserve">Продажба на инв сред.</t>
  </si>
  <si>
    <t xml:space="preserve">При за хартии од вред</t>
  </si>
  <si>
    <t xml:space="preserve">Одл за хартии од вред</t>
  </si>
  <si>
    <t xml:space="preserve">Камати</t>
  </si>
  <si>
    <t xml:space="preserve">Дивиденди од инвести.</t>
  </si>
  <si>
    <t xml:space="preserve">Финансиски активности</t>
  </si>
  <si>
    <t xml:space="preserve">Издавање на акции и сл</t>
  </si>
  <si>
    <t xml:space="preserve">Враќање на заеми</t>
  </si>
  <si>
    <t xml:space="preserve">При. од издадени дол. хартии од вредност и кредити</t>
  </si>
  <si>
    <t xml:space="preserve">Стекнување на мал. Интерес</t>
  </si>
  <si>
    <t xml:space="preserve">Исплатена дивиденда</t>
  </si>
  <si>
    <t xml:space="preserve">Откуп/прод. на соп. акции</t>
  </si>
  <si>
    <t xml:space="preserve">Нам. на обвр. за фин. лизинг</t>
  </si>
  <si>
    <t xml:space="preserve">Нето парична промена</t>
  </si>
  <si>
    <t xml:space="preserve">Пари на почеток на годината</t>
  </si>
  <si>
    <t xml:space="preserve">Парична промена</t>
  </si>
  <si>
    <t xml:space="preserve">Пари на крај од годината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</si>
</sst>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"/>
    <numFmt numFmtId="166" formatCode="#,##0"/>
    <numFmt numFmtId="167" formatCode="0%"/>
    <numFmt numFmtId="168" formatCode="0.0%"/>
    <numFmt numFmtId="169" formatCode="0.00%"/>
    <numFmt numFmtId="170" formatCode="#,##0.00;[RED]\-#,##0.00"/>
    <numFmt numFmtId="171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color rgb="FF0000FF"/>
      <name val="Arial"/>
      <family val="2"/>
      <charset val="1"/>
    </font>
    <font>
      <sz val="11"/>
      <color rgb="FF000000"/>
      <name val="Arial"/>
      <family val="0"/>
      <charset val="1"/>
    </font>
    <font>
      <sz val="8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B2B2B2"/>
        <bgColor rgb="FFB3CAC7"/>
      </patternFill>
    </fill>
    <fill>
      <patternFill patternType="solid">
        <fgColor rgb="FFF7D1D5"/>
        <bgColor rgb="FFFFDBB6"/>
      </patternFill>
    </fill>
    <fill>
      <patternFill patternType="solid">
        <fgColor rgb="FFF6F9D4"/>
        <bgColor rgb="FFE8F2A1"/>
      </patternFill>
    </fill>
    <fill>
      <patternFill patternType="solid">
        <fgColor rgb="FFB4C7DC"/>
        <bgColor rgb="FFB3CAC7"/>
      </patternFill>
    </fill>
    <fill>
      <patternFill patternType="solid">
        <fgColor rgb="FFFFDBB6"/>
        <bgColor rgb="FFF7D1D5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6F9D4"/>
      </patternFill>
    </fill>
    <fill>
      <patternFill patternType="solid">
        <fgColor rgb="FF999999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99999"/>
      </patternFill>
    </fill>
    <fill>
      <patternFill patternType="solid">
        <fgColor rgb="FFFFAA95"/>
        <bgColor rgb="FFEC9BA4"/>
      </patternFill>
    </fill>
    <fill>
      <patternFill patternType="solid">
        <fgColor rgb="FF2A6099"/>
        <bgColor rgb="FF666699"/>
      </patternFill>
    </fill>
    <fill>
      <patternFill patternType="solid">
        <fgColor rgb="FFDDDDDD"/>
        <bgColor rgb="FFF7D1D5"/>
      </patternFill>
    </fill>
    <fill>
      <patternFill patternType="solid">
        <fgColor rgb="FFEC9BA4"/>
        <bgColor rgb="FFFFAA95"/>
      </patternFill>
    </fill>
    <fill>
      <patternFill patternType="solid">
        <fgColor rgb="FFAFD095"/>
        <bgColor rgb="FFB3CAC7"/>
      </patternFill>
    </fill>
    <fill>
      <patternFill patternType="solid">
        <fgColor rgb="FF81D41A"/>
        <bgColor rgb="FF77BC65"/>
      </patternFill>
    </fill>
    <fill>
      <patternFill patternType="solid">
        <fgColor rgb="FFB3CAC7"/>
        <bgColor rgb="FFB4C7DC"/>
      </patternFill>
    </fill>
    <fill>
      <patternFill patternType="solid">
        <fgColor rgb="FF77BC65"/>
        <bgColor rgb="FF81D41A"/>
      </patternFill>
    </fill>
    <fill>
      <patternFill patternType="solid">
        <fgColor rgb="FFFFFF6D"/>
        <bgColor rgb="FFE8F2A1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1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7D1D5"/>
      <rgbColor rgb="FFFF0000"/>
      <rgbColor rgb="FF00FF00"/>
      <rgbColor rgb="FF0000FF"/>
      <rgbColor rgb="FFD4EA6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6F9D4"/>
      <rgbColor rgb="FFDDDDDD"/>
      <rgbColor rgb="FF660066"/>
      <rgbColor rgb="FFFF6D6D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8F2A1"/>
      <rgbColor rgb="FFFFFF6D"/>
      <rgbColor rgb="FFAFD095"/>
      <rgbColor rgb="FFEC9BA4"/>
      <rgbColor rgb="FFB2B2B2"/>
      <rgbColor rgb="FFFFDBB6"/>
      <rgbColor rgb="FF3366FF"/>
      <rgbColor rgb="FF33CCCC"/>
      <rgbColor rgb="FF81D41A"/>
      <rgbColor rgb="FFFFCC00"/>
      <rgbColor rgb="FFFFAA95"/>
      <rgbColor rgb="FFFF6600"/>
      <rgbColor rgb="FF666699"/>
      <rgbColor rgb="FF999999"/>
      <rgbColor rgb="FF003366"/>
      <rgbColor rgb="FF77BC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17</xdr:col>
      <xdr:colOff>20160</xdr:colOff>
      <xdr:row>0</xdr:row>
      <xdr:rowOff>0</xdr:rowOff>
    </xdr:from>
    <xdr:to>
      <xdr:col>17</xdr:col>
      <xdr:colOff>29880</xdr:colOff>
      <xdr:row>24</xdr:row>
      <xdr:rowOff>9720</xdr:rowOff>
    </xdr:to>
    <xdr:sp>
      <xdr:nvSpPr>
        <xdr:cNvPr id="0" name="Line 1"/>
        <xdr:cNvSpPr/>
      </xdr:nvSpPr>
      <xdr:spPr>
        <a:xfrm>
          <a:off x="15264360" y="0"/>
          <a:ext cx="9720" cy="39110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7.27"/>
    <col collapsed="false" customWidth="true" hidden="false" outlineLevel="0" max="3" min="3" style="0" width="27.55"/>
    <col collapsed="false" customWidth="true" hidden="false" outlineLevel="0" max="4" min="4" style="0" width="18.77"/>
    <col collapsed="false" customWidth="true" hidden="false" outlineLevel="0" max="5" min="5" style="0" width="20.45"/>
    <col collapsed="false" customWidth="true" hidden="false" outlineLevel="0" max="6" min="6" style="0" width="3.45"/>
    <col collapsed="false" customWidth="true" hidden="false" outlineLevel="0" max="7" min="7" style="0" width="6.94"/>
    <col collapsed="false" customWidth="true" hidden="false" outlineLevel="0" max="8" min="8" style="0" width="10.12"/>
    <col collapsed="false" customWidth="true" hidden="false" outlineLevel="0" max="9" min="9" style="0" width="15.68"/>
    <col collapsed="false" customWidth="true" hidden="false" outlineLevel="0" max="12" min="12" style="1" width="12.8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2" t="s">
        <v>1</v>
      </c>
      <c r="B2" s="0" t="s">
        <v>2</v>
      </c>
      <c r="C2" s="3" t="s">
        <v>3</v>
      </c>
      <c r="D2" s="0" t="s">
        <v>4</v>
      </c>
      <c r="E2" s="4"/>
      <c r="F2" s="5"/>
      <c r="G2" s="6"/>
      <c r="H2" s="6"/>
      <c r="I2" s="6"/>
      <c r="J2" s="6"/>
      <c r="K2" s="6"/>
      <c r="L2" s="7"/>
      <c r="M2" s="6"/>
    </row>
    <row r="3" customFormat="false" ht="12.8" hidden="false" customHeight="false" outlineLevel="0" collapsed="false">
      <c r="A3" s="2" t="s">
        <v>5</v>
      </c>
      <c r="B3" s="0" t="s">
        <v>6</v>
      </c>
      <c r="C3" s="3" t="s">
        <v>7</v>
      </c>
      <c r="D3" s="0" t="s">
        <v>8</v>
      </c>
      <c r="E3" s="3" t="s">
        <v>9</v>
      </c>
      <c r="F3" s="6"/>
      <c r="G3" s="3" t="s">
        <v>10</v>
      </c>
      <c r="H3" s="8" t="s">
        <v>11</v>
      </c>
      <c r="I3" s="9" t="s">
        <v>12</v>
      </c>
      <c r="J3" s="8" t="s">
        <v>13</v>
      </c>
      <c r="K3" s="9" t="s">
        <v>12</v>
      </c>
      <c r="L3" s="8" t="s">
        <v>14</v>
      </c>
      <c r="M3" s="9" t="s">
        <v>12</v>
      </c>
    </row>
    <row r="4" customFormat="false" ht="12.8" hidden="false" customHeight="false" outlineLevel="0" collapsed="false">
      <c r="A4" s="2" t="s">
        <v>15</v>
      </c>
      <c r="C4" s="10"/>
      <c r="E4" s="10"/>
      <c r="F4" s="6"/>
      <c r="G4" s="4"/>
      <c r="H4" s="11"/>
      <c r="I4" s="12"/>
      <c r="J4" s="11"/>
      <c r="K4" s="12"/>
      <c r="L4" s="11"/>
      <c r="M4" s="12"/>
    </row>
    <row r="5" customFormat="false" ht="13.8" hidden="false" customHeight="false" outlineLevel="0" collapsed="false">
      <c r="D5" s="0" t="s">
        <v>16</v>
      </c>
      <c r="E5" s="13" t="n">
        <v>76033.33</v>
      </c>
      <c r="F5" s="6"/>
      <c r="G5" s="4"/>
      <c r="H5" s="14"/>
      <c r="I5" s="12"/>
      <c r="J5" s="14"/>
      <c r="K5" s="12"/>
      <c r="L5" s="11"/>
      <c r="M5" s="12"/>
    </row>
    <row r="6" customFormat="false" ht="12.8" hidden="false" customHeight="false" outlineLevel="0" collapsed="false">
      <c r="D6" s="0" t="s">
        <v>17</v>
      </c>
      <c r="E6" s="15" t="n">
        <f aca="false">112382/1000*0.9</f>
        <v>101.1438</v>
      </c>
      <c r="F6" s="6"/>
      <c r="G6" s="4"/>
      <c r="H6" s="14"/>
      <c r="I6" s="12"/>
      <c r="J6" s="14"/>
      <c r="K6" s="12"/>
      <c r="L6" s="11"/>
      <c r="M6" s="12"/>
    </row>
    <row r="7" customFormat="false" ht="12.8" hidden="false" customHeight="false" outlineLevel="0" collapsed="false">
      <c r="D7" s="0" t="s">
        <v>18</v>
      </c>
      <c r="E7" s="16" t="n">
        <f aca="false">Средства!D27</f>
        <v>1307306.3</v>
      </c>
      <c r="F7" s="6"/>
      <c r="G7" s="4"/>
      <c r="H7" s="14"/>
      <c r="I7" s="12"/>
      <c r="J7" s="14"/>
      <c r="K7" s="12"/>
      <c r="L7" s="11"/>
      <c r="M7" s="12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4"/>
      <c r="H8" s="14"/>
      <c r="I8" s="12"/>
      <c r="J8" s="14"/>
      <c r="K8" s="12"/>
      <c r="L8" s="11"/>
      <c r="M8" s="12"/>
    </row>
    <row r="9" customFormat="false" ht="12.8" hidden="false" customHeight="false" outlineLevel="0" collapsed="false">
      <c r="A9" s="17" t="s">
        <v>19</v>
      </c>
      <c r="B9" s="17" t="s">
        <v>20</v>
      </c>
      <c r="C9" s="17" t="s">
        <v>21</v>
      </c>
      <c r="D9" s="18" t="s">
        <v>22</v>
      </c>
      <c r="E9" s="17" t="s">
        <v>23</v>
      </c>
      <c r="F9" s="6"/>
      <c r="G9" s="4"/>
      <c r="H9" s="14"/>
      <c r="I9" s="12"/>
      <c r="J9" s="14"/>
      <c r="K9" s="12"/>
      <c r="L9" s="11"/>
      <c r="M9" s="12"/>
    </row>
    <row r="10" customFormat="false" ht="12.8" hidden="false" customHeight="false" outlineLevel="0" collapsed="false">
      <c r="F10" s="6"/>
      <c r="G10" s="4"/>
      <c r="H10" s="11"/>
      <c r="I10" s="12"/>
      <c r="J10" s="11"/>
      <c r="K10" s="12"/>
      <c r="L10" s="11"/>
      <c r="M10" s="12"/>
    </row>
    <row r="11" customFormat="false" ht="12.8" hidden="false" customHeight="false" outlineLevel="0" collapsed="false">
      <c r="F11" s="6"/>
      <c r="G11" s="4"/>
      <c r="H11" s="14"/>
      <c r="I11" s="12"/>
      <c r="J11" s="14"/>
      <c r="K11" s="12"/>
      <c r="L11" s="11"/>
      <c r="M11" s="12"/>
    </row>
    <row r="12" customFormat="false" ht="12.8" hidden="false" customHeight="false" outlineLevel="0" collapsed="false">
      <c r="F12" s="6"/>
      <c r="G12" s="4"/>
      <c r="H12" s="14"/>
      <c r="I12" s="12"/>
      <c r="J12" s="14"/>
      <c r="K12" s="12"/>
      <c r="L12" s="11"/>
      <c r="M12" s="12"/>
    </row>
    <row r="13" customFormat="false" ht="12.8" hidden="false" customHeight="false" outlineLevel="0" collapsed="false">
      <c r="F13" s="6"/>
      <c r="G13" s="4"/>
      <c r="H13" s="14"/>
      <c r="I13" s="12"/>
      <c r="J13" s="14"/>
      <c r="K13" s="12"/>
      <c r="L13" s="11"/>
      <c r="M13" s="12"/>
    </row>
    <row r="14" customFormat="false" ht="12.8" hidden="false" customHeight="false" outlineLevel="0" collapsed="false">
      <c r="F14" s="6"/>
      <c r="G14" s="4"/>
      <c r="H14" s="14"/>
      <c r="I14" s="12"/>
      <c r="J14" s="14"/>
      <c r="K14" s="12"/>
      <c r="L14" s="11"/>
      <c r="M14" s="12"/>
    </row>
    <row r="15" customFormat="false" ht="12.8" hidden="false" customHeight="false" outlineLevel="0" collapsed="false">
      <c r="F15" s="6"/>
      <c r="G15" s="4"/>
      <c r="H15" s="14"/>
      <c r="I15" s="12"/>
      <c r="J15" s="14"/>
      <c r="K15" s="12"/>
      <c r="L15" s="11"/>
      <c r="M15" s="12"/>
    </row>
  </sheetData>
  <hyperlinks>
    <hyperlink ref="A2" location="Готовински принос" display="Готвински принос"/>
    <hyperlink ref="A3" location="Средства" display="Средства"/>
    <hyperlink ref="A4" location="Бонитет и насока" display="Бонитет и насока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C33" activeCellId="0" sqref="C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3"/>
    <col collapsed="false" customWidth="false" hidden="false" outlineLevel="0" max="14" min="3" style="1" width="11.52"/>
    <col collapsed="false" customWidth="true" hidden="false" outlineLevel="0" max="15" min="15" style="1" width="11.64"/>
    <col collapsed="false" customWidth="true" hidden="false" outlineLevel="0" max="28" min="16" style="0" width="11.67"/>
  </cols>
  <sheetData>
    <row r="1" customFormat="false" ht="12.8" hidden="false" customHeight="false" outlineLevel="0" collapsed="false">
      <c r="A1" s="2" t="s">
        <v>24</v>
      </c>
      <c r="B1" s="8" t="n">
        <v>2019</v>
      </c>
      <c r="C1" s="8" t="s">
        <v>25</v>
      </c>
      <c r="D1" s="19" t="s">
        <v>26</v>
      </c>
      <c r="E1" s="1" t="s">
        <v>27</v>
      </c>
      <c r="F1" s="20" t="s">
        <v>28</v>
      </c>
      <c r="G1" s="1" t="n">
        <v>2020</v>
      </c>
      <c r="H1" s="8" t="s">
        <v>29</v>
      </c>
      <c r="I1" s="1" t="s">
        <v>30</v>
      </c>
      <c r="J1" s="1" t="s">
        <v>31</v>
      </c>
      <c r="K1" s="20" t="s">
        <v>32</v>
      </c>
      <c r="L1" s="1" t="n">
        <v>2021</v>
      </c>
      <c r="M1" s="1" t="s">
        <v>33</v>
      </c>
      <c r="N1" s="21"/>
      <c r="O1" s="22" t="n">
        <v>2019</v>
      </c>
      <c r="P1" s="22" t="n">
        <v>2020</v>
      </c>
      <c r="Q1" s="22" t="n">
        <v>2021</v>
      </c>
      <c r="R1" s="22" t="n">
        <v>2022</v>
      </c>
      <c r="S1" s="22" t="n">
        <v>2023</v>
      </c>
      <c r="T1" s="22" t="n">
        <v>2024</v>
      </c>
      <c r="U1" s="22" t="n">
        <v>2025</v>
      </c>
      <c r="V1" s="22" t="n">
        <v>2026</v>
      </c>
      <c r="W1" s="22" t="n">
        <v>2027</v>
      </c>
      <c r="X1" s="22" t="n">
        <v>2028</v>
      </c>
      <c r="Y1" s="22" t="n">
        <v>2029</v>
      </c>
      <c r="Z1" s="22" t="n">
        <v>2030</v>
      </c>
      <c r="AA1" s="22" t="n">
        <v>2031</v>
      </c>
      <c r="AB1" s="22" t="n">
        <v>2032</v>
      </c>
    </row>
    <row r="2" customFormat="false" ht="12.8" hidden="false" customHeight="false" outlineLevel="0" collapsed="false">
      <c r="N2" s="2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8" hidden="false" customHeight="false" outlineLevel="0" collapsed="false">
      <c r="A3" s="23" t="s">
        <v>34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1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customFormat="false" ht="12.8" hidden="false" customHeight="false" outlineLevel="0" collapsed="false">
      <c r="A4" s="0" t="s">
        <v>35</v>
      </c>
      <c r="B4" s="24" t="n">
        <v>21619822</v>
      </c>
      <c r="C4" s="24" t="n">
        <v>4840540</v>
      </c>
      <c r="D4" s="24" t="n">
        <f aca="false">7949610-C4</f>
        <v>3109070</v>
      </c>
      <c r="E4" s="24" t="n">
        <f aca="false">12462581-(D4+C4)</f>
        <v>4512971</v>
      </c>
      <c r="F4" s="24" t="n">
        <f aca="false">(16720163)-(E4+D4+C4)</f>
        <v>4257582</v>
      </c>
      <c r="G4" s="25" t="n">
        <f aca="false">SUM(C4:F4)</f>
        <v>16720163</v>
      </c>
      <c r="H4" s="24" t="n">
        <v>3976616</v>
      </c>
      <c r="I4" s="24" t="n">
        <f aca="false">8858738-H4</f>
        <v>4882122</v>
      </c>
      <c r="J4" s="24" t="n">
        <f aca="false">15340448-(I4+H4)</f>
        <v>6481710</v>
      </c>
      <c r="K4" s="24" t="n">
        <f aca="false">(21496720)-(J4+I4+H4)</f>
        <v>6156272</v>
      </c>
      <c r="L4" s="25" t="n">
        <f aca="false">SUM(H4:K4)</f>
        <v>21496720</v>
      </c>
      <c r="M4" s="24" t="n">
        <v>7076062</v>
      </c>
      <c r="N4" s="21"/>
      <c r="O4" s="24" t="n">
        <f aca="false">B4</f>
        <v>21619822</v>
      </c>
      <c r="P4" s="24" t="n">
        <f aca="false">G4</f>
        <v>16720163</v>
      </c>
      <c r="Q4" s="24" t="n">
        <f aca="false">L4</f>
        <v>21496720</v>
      </c>
      <c r="R4" s="24" t="n">
        <f aca="false">Q4*0.99</f>
        <v>21281752.8</v>
      </c>
      <c r="S4" s="24" t="n">
        <f aca="false">R4*0.99</f>
        <v>21068935.272</v>
      </c>
      <c r="T4" s="24" t="n">
        <f aca="false">S4*0.99</f>
        <v>20858245.91928</v>
      </c>
      <c r="U4" s="24" t="n">
        <f aca="false">T4*0.99</f>
        <v>20649663.4600872</v>
      </c>
      <c r="V4" s="24" t="n">
        <f aca="false">U4*0.99</f>
        <v>20443166.8254863</v>
      </c>
      <c r="W4" s="24" t="n">
        <f aca="false">V4*0.99</f>
        <v>20238735.1572315</v>
      </c>
      <c r="X4" s="24" t="n">
        <f aca="false">W4*0.9</f>
        <v>18214861.6415083</v>
      </c>
      <c r="Y4" s="24" t="n">
        <f aca="false">X4*0.9</f>
        <v>16393375.4773575</v>
      </c>
      <c r="Z4" s="24" t="n">
        <f aca="false">Y4*0.9</f>
        <v>14754037.9296217</v>
      </c>
      <c r="AA4" s="24" t="n">
        <f aca="false">Z4*0.9</f>
        <v>13278634.1366596</v>
      </c>
      <c r="AB4" s="24" t="n">
        <f aca="false">AA4*0.9</f>
        <v>11950770.7229936</v>
      </c>
    </row>
    <row r="5" customFormat="false" ht="12.8" hidden="false" customHeight="false" outlineLevel="0" collapsed="false">
      <c r="A5" s="0" t="s">
        <v>36</v>
      </c>
      <c r="B5" s="24" t="n">
        <f aca="false">19561764+171286+497912+1128189+2103</f>
        <v>21361254</v>
      </c>
      <c r="C5" s="24" t="n">
        <f aca="false">4231850+121769+297691</f>
        <v>4651310</v>
      </c>
      <c r="D5" s="24" t="n">
        <f aca="false">(6790983+103202+224727+614724)-C5</f>
        <v>3082326</v>
      </c>
      <c r="E5" s="24" t="n">
        <f aca="false">(10599580+157082+353459+910215)-(D5+C5)</f>
        <v>4286700</v>
      </c>
      <c r="F5" s="24" t="n">
        <f aca="false">(14164170+228450+484345+1206836+2818)-(E5+D5+C5)</f>
        <v>4066283</v>
      </c>
      <c r="G5" s="25" t="n">
        <f aca="false">SUM(C5:F5)</f>
        <v>16086619</v>
      </c>
      <c r="H5" s="24" t="n">
        <f aca="false">3379043+33672+110795+296474</f>
        <v>3819984</v>
      </c>
      <c r="I5" s="24" t="n">
        <f aca="false">(7574739+70783+240303+598779)-H5</f>
        <v>4664620</v>
      </c>
      <c r="J5" s="24" t="n">
        <f aca="false">(13183253+115611+378368+965426)-(I5+H5)</f>
        <v>6158054</v>
      </c>
      <c r="K5" s="24" t="n">
        <f aca="false">(18517770+164613+52725+1337339)-(J5+I5+H5)</f>
        <v>5429789</v>
      </c>
      <c r="L5" s="25" t="n">
        <f aca="false">SUM(H5:K5)</f>
        <v>20072447</v>
      </c>
      <c r="M5" s="24" t="n">
        <f aca="false">6217954+89641+409+120670+326334</f>
        <v>6755008</v>
      </c>
      <c r="N5" s="21"/>
      <c r="O5" s="24" t="n">
        <f aca="false">B5</f>
        <v>21361254</v>
      </c>
      <c r="P5" s="24" t="n">
        <f aca="false">G5</f>
        <v>16086619</v>
      </c>
      <c r="Q5" s="24" t="n">
        <f aca="false">L5</f>
        <v>20072447</v>
      </c>
      <c r="R5" s="24" t="n">
        <f aca="false">Q5*0.99</f>
        <v>19871722.53</v>
      </c>
      <c r="S5" s="24" t="n">
        <f aca="false">R5*0.99</f>
        <v>19673005.3047</v>
      </c>
      <c r="T5" s="24" t="n">
        <f aca="false">S5*0.99</f>
        <v>19476275.251653</v>
      </c>
      <c r="U5" s="24" t="n">
        <f aca="false">T5*0.99</f>
        <v>19281512.4991365</v>
      </c>
      <c r="V5" s="24" t="n">
        <f aca="false">U5*0.99</f>
        <v>19088697.3741451</v>
      </c>
      <c r="W5" s="24" t="n">
        <f aca="false">V5*0.99</f>
        <v>18897810.4004037</v>
      </c>
      <c r="X5" s="24" t="n">
        <f aca="false">W5*0.9</f>
        <v>17008029.3603633</v>
      </c>
      <c r="Y5" s="24" t="n">
        <f aca="false">X5*0.9</f>
        <v>15307226.424327</v>
      </c>
      <c r="Z5" s="24" t="n">
        <f aca="false">Y5*0.9</f>
        <v>13776503.7818943</v>
      </c>
      <c r="AA5" s="24" t="n">
        <f aca="false">Z5*0.9</f>
        <v>12398853.4037048</v>
      </c>
      <c r="AB5" s="24" t="n">
        <f aca="false">AA5*0.9</f>
        <v>11158968.0633344</v>
      </c>
    </row>
    <row r="6" customFormat="false" ht="12.8" hidden="false" customHeight="false" outlineLevel="0" collapsed="false">
      <c r="A6" s="0" t="s">
        <v>37</v>
      </c>
      <c r="B6" s="26" t="n">
        <f aca="false">+B4-B5</f>
        <v>258568</v>
      </c>
      <c r="C6" s="26" t="n">
        <f aca="false">+C4-C5</f>
        <v>189230</v>
      </c>
      <c r="D6" s="26" t="n">
        <f aca="false">+D4-D5</f>
        <v>26744</v>
      </c>
      <c r="E6" s="26" t="n">
        <f aca="false">+E4-E5</f>
        <v>226271</v>
      </c>
      <c r="F6" s="26" t="n">
        <f aca="false">+F4-F5</f>
        <v>191299</v>
      </c>
      <c r="G6" s="27" t="n">
        <f aca="false">SUM(C6:F6)</f>
        <v>633544</v>
      </c>
      <c r="H6" s="26" t="n">
        <f aca="false">+H4-H5</f>
        <v>156632</v>
      </c>
      <c r="I6" s="26" t="n">
        <f aca="false">+I4-I5</f>
        <v>217502</v>
      </c>
      <c r="J6" s="26" t="n">
        <f aca="false">+J4-J5</f>
        <v>323656</v>
      </c>
      <c r="K6" s="26" t="n">
        <f aca="false">+K4-K5</f>
        <v>726483</v>
      </c>
      <c r="L6" s="27" t="n">
        <f aca="false">SUM(H6:K6)</f>
        <v>1424273</v>
      </c>
      <c r="M6" s="26" t="n">
        <f aca="false">+M4-M5</f>
        <v>321054</v>
      </c>
      <c r="N6" s="21"/>
      <c r="O6" s="26" t="n">
        <f aca="false">+O4-O5</f>
        <v>258568</v>
      </c>
      <c r="P6" s="26" t="n">
        <f aca="false">+P4-P5</f>
        <v>633544</v>
      </c>
      <c r="Q6" s="26" t="n">
        <f aca="false">+Q4-Q5</f>
        <v>1424273</v>
      </c>
      <c r="R6" s="26" t="n">
        <f aca="false">+R4-R5</f>
        <v>1410030.27</v>
      </c>
      <c r="S6" s="26" t="n">
        <f aca="false">+S4-S5</f>
        <v>1395929.9673</v>
      </c>
      <c r="T6" s="26" t="n">
        <f aca="false">+T4-T5</f>
        <v>1381970.667627</v>
      </c>
      <c r="U6" s="26" t="n">
        <f aca="false">+U4-U5</f>
        <v>1368150.96095073</v>
      </c>
      <c r="V6" s="26" t="n">
        <f aca="false">+V4-V5</f>
        <v>1354469.45134122</v>
      </c>
      <c r="W6" s="26" t="n">
        <f aca="false">+W4-W5</f>
        <v>1340924.75682781</v>
      </c>
      <c r="X6" s="26" t="n">
        <f aca="false">+X4-X5</f>
        <v>1206832.28114503</v>
      </c>
      <c r="Y6" s="26" t="n">
        <f aca="false">+Y4-Y5</f>
        <v>1086149.05303052</v>
      </c>
      <c r="Z6" s="26" t="n">
        <f aca="false">+Z4-Z5</f>
        <v>977534.147727471</v>
      </c>
      <c r="AA6" s="26" t="n">
        <f aca="false">+AA4-AA5</f>
        <v>879780.732954724</v>
      </c>
      <c r="AB6" s="26" t="n">
        <f aca="false">+AB4-AB5</f>
        <v>791802.659659252</v>
      </c>
    </row>
    <row r="7" customFormat="false" ht="12.8" hidden="false" customHeight="false" outlineLevel="0" collapsed="false">
      <c r="A7" s="0" t="s">
        <v>38</v>
      </c>
      <c r="B7" s="24"/>
      <c r="C7" s="24"/>
      <c r="D7" s="24" t="n">
        <f aca="false">0-C7</f>
        <v>0</v>
      </c>
      <c r="E7" s="24" t="n">
        <f aca="false">0-(D7+C7)</f>
        <v>0</v>
      </c>
      <c r="F7" s="24" t="n">
        <f aca="false">(0)-(E7+D7+C7)</f>
        <v>0</v>
      </c>
      <c r="G7" s="25" t="n">
        <f aca="false">SUM(C7:F7)</f>
        <v>0</v>
      </c>
      <c r="H7" s="24" t="n">
        <v>0</v>
      </c>
      <c r="I7" s="24" t="n">
        <f aca="false">0-H7</f>
        <v>0</v>
      </c>
      <c r="J7" s="24" t="n">
        <f aca="false">0-(I7+H7)</f>
        <v>0</v>
      </c>
      <c r="K7" s="24" t="n">
        <f aca="false">(0)-(J7+I7+H7)</f>
        <v>0</v>
      </c>
      <c r="L7" s="25" t="n">
        <f aca="false">SUM(H7:K7)</f>
        <v>0</v>
      </c>
      <c r="M7" s="24" t="n">
        <v>0</v>
      </c>
      <c r="N7" s="21"/>
      <c r="O7" s="24" t="n">
        <f aca="false">B7</f>
        <v>0</v>
      </c>
      <c r="P7" s="24" t="n">
        <f aca="false">G7</f>
        <v>0</v>
      </c>
      <c r="Q7" s="24" t="n">
        <f aca="false">L7</f>
        <v>0</v>
      </c>
      <c r="R7" s="24" t="n">
        <f aca="false">M7</f>
        <v>0</v>
      </c>
      <c r="S7" s="24" t="n">
        <f aca="false">N7</f>
        <v>0</v>
      </c>
      <c r="T7" s="24" t="n">
        <f aca="false">O7</f>
        <v>0</v>
      </c>
      <c r="U7" s="24" t="n">
        <f aca="false">P7</f>
        <v>0</v>
      </c>
      <c r="V7" s="24" t="n">
        <f aca="false">Q7</f>
        <v>0</v>
      </c>
      <c r="W7" s="24" t="n">
        <f aca="false">R7</f>
        <v>0</v>
      </c>
      <c r="X7" s="24" t="n">
        <f aca="false">S7</f>
        <v>0</v>
      </c>
      <c r="Y7" s="24" t="n">
        <f aca="false">T7</f>
        <v>0</v>
      </c>
      <c r="Z7" s="24" t="n">
        <f aca="false">U7</f>
        <v>0</v>
      </c>
      <c r="AA7" s="24" t="n">
        <f aca="false">V7</f>
        <v>0</v>
      </c>
      <c r="AB7" s="24" t="n">
        <f aca="false">W7</f>
        <v>0</v>
      </c>
    </row>
    <row r="8" customFormat="false" ht="12.8" hidden="false" customHeight="false" outlineLevel="0" collapsed="false">
      <c r="A8" s="28" t="s">
        <v>39</v>
      </c>
      <c r="B8" s="24"/>
      <c r="C8" s="24"/>
      <c r="D8" s="24" t="n">
        <f aca="false">0-C8</f>
        <v>0</v>
      </c>
      <c r="E8" s="24" t="n">
        <f aca="false">0-(D8+C8)</f>
        <v>0</v>
      </c>
      <c r="F8" s="24" t="n">
        <f aca="false">(0)-(E8+D8+C8)</f>
        <v>0</v>
      </c>
      <c r="G8" s="25" t="n">
        <f aca="false">SUM(C8:F8)</f>
        <v>0</v>
      </c>
      <c r="H8" s="24" t="n">
        <v>0</v>
      </c>
      <c r="I8" s="24" t="n">
        <f aca="false">0-H8</f>
        <v>0</v>
      </c>
      <c r="J8" s="24" t="n">
        <f aca="false">0-(I8+H8)</f>
        <v>0</v>
      </c>
      <c r="K8" s="24" t="n">
        <f aca="false">(0)-(J8+I8+H8)</f>
        <v>0</v>
      </c>
      <c r="L8" s="25" t="n">
        <f aca="false">SUM(H8:K8)</f>
        <v>0</v>
      </c>
      <c r="M8" s="24" t="n">
        <v>0</v>
      </c>
      <c r="N8" s="21"/>
      <c r="O8" s="24" t="n">
        <f aca="false">B8</f>
        <v>0</v>
      </c>
      <c r="P8" s="24" t="n">
        <f aca="false">G8</f>
        <v>0</v>
      </c>
      <c r="Q8" s="24" t="n">
        <f aca="false">L8</f>
        <v>0</v>
      </c>
      <c r="R8" s="24" t="n">
        <f aca="false">M8</f>
        <v>0</v>
      </c>
      <c r="S8" s="24" t="n">
        <f aca="false">N8</f>
        <v>0</v>
      </c>
      <c r="T8" s="24" t="n">
        <f aca="false">O8</f>
        <v>0</v>
      </c>
      <c r="U8" s="24" t="n">
        <f aca="false">P8</f>
        <v>0</v>
      </c>
      <c r="V8" s="24" t="n">
        <f aca="false">Q8</f>
        <v>0</v>
      </c>
      <c r="W8" s="24" t="n">
        <f aca="false">R8</f>
        <v>0</v>
      </c>
      <c r="X8" s="24" t="n">
        <f aca="false">S8</f>
        <v>0</v>
      </c>
      <c r="Y8" s="24" t="n">
        <f aca="false">T8</f>
        <v>0</v>
      </c>
      <c r="Z8" s="24" t="n">
        <f aca="false">U8</f>
        <v>0</v>
      </c>
      <c r="AA8" s="24" t="n">
        <f aca="false">V8</f>
        <v>0</v>
      </c>
      <c r="AB8" s="24" t="n">
        <f aca="false">W8</f>
        <v>0</v>
      </c>
    </row>
    <row r="9" customFormat="false" ht="12.8" hidden="false" customHeight="false" outlineLevel="0" collapsed="false">
      <c r="A9" s="0" t="s">
        <v>40</v>
      </c>
      <c r="B9" s="24" t="n">
        <f aca="false">221022</f>
        <v>221022</v>
      </c>
      <c r="C9" s="24" t="n">
        <f aca="false">52840</f>
        <v>52840</v>
      </c>
      <c r="D9" s="24" t="n">
        <f aca="false">(101944)-C9</f>
        <v>49104</v>
      </c>
      <c r="E9" s="24" t="n">
        <f aca="false">(140259)-(D9+C9)</f>
        <v>38315</v>
      </c>
      <c r="F9" s="24" t="n">
        <f aca="false">(191371)-(E9+D9+C9)</f>
        <v>51112</v>
      </c>
      <c r="G9" s="25" t="n">
        <f aca="false">SUM(C9:F9)</f>
        <v>191371</v>
      </c>
      <c r="H9" s="24" t="n">
        <f aca="false">49842</f>
        <v>49842</v>
      </c>
      <c r="I9" s="24" t="n">
        <f aca="false">(95555)-H9</f>
        <v>45713</v>
      </c>
      <c r="J9" s="24" t="n">
        <f aca="false">(145378)-(I9+H9)</f>
        <v>49823</v>
      </c>
      <c r="K9" s="24" t="n">
        <f aca="false">(207637)-(J9+I9+H9)</f>
        <v>62259</v>
      </c>
      <c r="L9" s="25" t="n">
        <f aca="false">SUM(H9:K9)</f>
        <v>207637</v>
      </c>
      <c r="M9" s="24" t="n">
        <f aca="false">48611</f>
        <v>48611</v>
      </c>
      <c r="N9" s="21"/>
      <c r="O9" s="24" t="n">
        <f aca="false">B9</f>
        <v>221022</v>
      </c>
      <c r="P9" s="24" t="n">
        <f aca="false">G9</f>
        <v>191371</v>
      </c>
      <c r="Q9" s="24" t="n">
        <f aca="false">L9</f>
        <v>207637</v>
      </c>
      <c r="R9" s="24" t="n">
        <f aca="false">Q9*0.99</f>
        <v>205560.63</v>
      </c>
      <c r="S9" s="24" t="n">
        <f aca="false">R9*0.99</f>
        <v>203505.0237</v>
      </c>
      <c r="T9" s="24" t="n">
        <f aca="false">S9*0.99</f>
        <v>201469.973463</v>
      </c>
      <c r="U9" s="24" t="n">
        <f aca="false">T9*0.99</f>
        <v>199455.27372837</v>
      </c>
      <c r="V9" s="24" t="n">
        <f aca="false">U9*0.99</f>
        <v>197460.720991086</v>
      </c>
      <c r="W9" s="24" t="n">
        <f aca="false">V9*0.99</f>
        <v>195486.113781175</v>
      </c>
      <c r="X9" s="24" t="n">
        <f aca="false">W9*0.9</f>
        <v>175937.502403058</v>
      </c>
      <c r="Y9" s="24" t="n">
        <f aca="false">X9*0.9</f>
        <v>158343.752162752</v>
      </c>
      <c r="Z9" s="24" t="n">
        <f aca="false">Y9*0.9</f>
        <v>142509.376946477</v>
      </c>
      <c r="AA9" s="24" t="n">
        <f aca="false">Z9*0.9</f>
        <v>128258.439251829</v>
      </c>
      <c r="AB9" s="24" t="n">
        <f aca="false">AA9*0.9</f>
        <v>115432.595326646</v>
      </c>
    </row>
    <row r="10" customFormat="false" ht="12.8" hidden="false" customHeight="false" outlineLevel="0" collapsed="false">
      <c r="A10" s="0" t="s">
        <v>41</v>
      </c>
      <c r="B10" s="26" t="n">
        <f aca="false">SUM(B7:B9)</f>
        <v>221022</v>
      </c>
      <c r="C10" s="26" t="n">
        <f aca="false">SUM(C7:C9)</f>
        <v>52840</v>
      </c>
      <c r="D10" s="26" t="n">
        <f aca="false">SUM(D7:D9)</f>
        <v>49104</v>
      </c>
      <c r="E10" s="26" t="n">
        <f aca="false">SUM(E7:E9)</f>
        <v>38315</v>
      </c>
      <c r="F10" s="26" t="n">
        <f aca="false">SUM(F7:F9)</f>
        <v>51112</v>
      </c>
      <c r="G10" s="27" t="n">
        <f aca="false">SUM(C10:F10)</f>
        <v>191371</v>
      </c>
      <c r="H10" s="26" t="n">
        <f aca="false">SUM(H7:H9)</f>
        <v>49842</v>
      </c>
      <c r="I10" s="26" t="n">
        <f aca="false">SUM(I7:I9)</f>
        <v>45713</v>
      </c>
      <c r="J10" s="26" t="n">
        <f aca="false">SUM(J7:J9)</f>
        <v>49823</v>
      </c>
      <c r="K10" s="26" t="n">
        <f aca="false">SUM(K7:K9)</f>
        <v>62259</v>
      </c>
      <c r="L10" s="27" t="n">
        <f aca="false">SUM(H10:K10)</f>
        <v>207637</v>
      </c>
      <c r="M10" s="26" t="n">
        <f aca="false">SUM(M7:M9)</f>
        <v>48611</v>
      </c>
      <c r="N10" s="21"/>
      <c r="O10" s="26" t="n">
        <f aca="false">SUM(O7:O9)</f>
        <v>221022</v>
      </c>
      <c r="P10" s="26" t="n">
        <f aca="false">SUM(P7:P9)</f>
        <v>191371</v>
      </c>
      <c r="Q10" s="26" t="n">
        <f aca="false">SUM(Q7:Q9)</f>
        <v>207637</v>
      </c>
      <c r="R10" s="26" t="n">
        <f aca="false">SUM(R7:R9)</f>
        <v>205560.63</v>
      </c>
      <c r="S10" s="26" t="n">
        <f aca="false">SUM(S7:S9)</f>
        <v>203505.0237</v>
      </c>
      <c r="T10" s="26" t="n">
        <f aca="false">SUM(T7:T9)</f>
        <v>201469.973463</v>
      </c>
      <c r="U10" s="26" t="n">
        <f aca="false">SUM(U7:U9)</f>
        <v>199455.27372837</v>
      </c>
      <c r="V10" s="26" t="n">
        <f aca="false">SUM(V7:V9)</f>
        <v>197460.720991086</v>
      </c>
      <c r="W10" s="26" t="n">
        <f aca="false">SUM(W7:W9)</f>
        <v>195486.113781175</v>
      </c>
      <c r="X10" s="26" t="n">
        <f aca="false">SUM(X7:X9)</f>
        <v>175937.502403058</v>
      </c>
      <c r="Y10" s="26" t="n">
        <f aca="false">SUM(Y7:Y9)</f>
        <v>158343.752162752</v>
      </c>
      <c r="Z10" s="26" t="n">
        <f aca="false">SUM(Z7:Z9)</f>
        <v>142509.376946477</v>
      </c>
      <c r="AA10" s="26" t="n">
        <f aca="false">SUM(AA7:AA9)</f>
        <v>128258.439251829</v>
      </c>
      <c r="AB10" s="26" t="n">
        <f aca="false">SUM(AB7:AB9)</f>
        <v>115432.595326646</v>
      </c>
    </row>
    <row r="11" customFormat="false" ht="12.8" hidden="false" customHeight="false" outlineLevel="0" collapsed="false">
      <c r="A11" s="0" t="s">
        <v>42</v>
      </c>
      <c r="B11" s="29" t="n">
        <f aca="false">+B6-B10</f>
        <v>37546</v>
      </c>
      <c r="C11" s="29" t="n">
        <f aca="false">+C6-C10</f>
        <v>136390</v>
      </c>
      <c r="D11" s="29" t="n">
        <f aca="false">+D6-D10</f>
        <v>-22360</v>
      </c>
      <c r="E11" s="29" t="n">
        <f aca="false">+E6-E10</f>
        <v>187956</v>
      </c>
      <c r="F11" s="29" t="n">
        <f aca="false">+F6-F10</f>
        <v>140187</v>
      </c>
      <c r="G11" s="27" t="n">
        <f aca="false">SUM(C11:F11)</f>
        <v>442173</v>
      </c>
      <c r="H11" s="29" t="n">
        <f aca="false">+H6-H10</f>
        <v>106790</v>
      </c>
      <c r="I11" s="29" t="n">
        <f aca="false">+I6-I10</f>
        <v>171789</v>
      </c>
      <c r="J11" s="29" t="n">
        <f aca="false">+J6-J10</f>
        <v>273833</v>
      </c>
      <c r="K11" s="29" t="n">
        <f aca="false">+K6-K10</f>
        <v>664224</v>
      </c>
      <c r="L11" s="27" t="n">
        <f aca="false">SUM(H11:K11)</f>
        <v>1216636</v>
      </c>
      <c r="M11" s="29" t="n">
        <f aca="false">+M6-M10</f>
        <v>272443</v>
      </c>
      <c r="N11" s="21"/>
      <c r="O11" s="29" t="n">
        <f aca="false">+O6-O10</f>
        <v>37546</v>
      </c>
      <c r="P11" s="29" t="n">
        <f aca="false">+P6-P10</f>
        <v>442173</v>
      </c>
      <c r="Q11" s="29" t="n">
        <f aca="false">+Q6-Q10</f>
        <v>1216636</v>
      </c>
      <c r="R11" s="29" t="n">
        <f aca="false">+R6-R10</f>
        <v>1204469.64</v>
      </c>
      <c r="S11" s="29" t="n">
        <f aca="false">+S6-S10</f>
        <v>1192424.9436</v>
      </c>
      <c r="T11" s="29" t="n">
        <f aca="false">+T6-T10</f>
        <v>1180500.694164</v>
      </c>
      <c r="U11" s="29" t="n">
        <f aca="false">+U6-U10</f>
        <v>1168695.68722236</v>
      </c>
      <c r="V11" s="29" t="n">
        <f aca="false">+V6-V10</f>
        <v>1157008.73035014</v>
      </c>
      <c r="W11" s="29" t="n">
        <f aca="false">+W6-W10</f>
        <v>1145438.64304663</v>
      </c>
      <c r="X11" s="29" t="n">
        <f aca="false">+X6-X10</f>
        <v>1030894.77874197</v>
      </c>
      <c r="Y11" s="29" t="n">
        <f aca="false">+Y6-Y10</f>
        <v>927805.300867772</v>
      </c>
      <c r="Z11" s="29" t="n">
        <f aca="false">+Z6-Z10</f>
        <v>835024.770780994</v>
      </c>
      <c r="AA11" s="29" t="n">
        <f aca="false">+AA6-AA10</f>
        <v>751522.293702895</v>
      </c>
      <c r="AB11" s="29" t="n">
        <f aca="false">+AB6-AB10</f>
        <v>676370.064332605</v>
      </c>
    </row>
    <row r="12" customFormat="false" ht="12.8" hidden="false" customHeight="false" outlineLevel="0" collapsed="false">
      <c r="A12" s="30" t="s">
        <v>43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21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customFormat="false" ht="12.8" hidden="false" customHeight="false" outlineLevel="0" collapsed="false">
      <c r="A13" s="0" t="s">
        <v>44</v>
      </c>
      <c r="B13" s="24" t="n">
        <v>140685</v>
      </c>
      <c r="C13" s="24" t="n">
        <v>1314</v>
      </c>
      <c r="D13" s="24" t="n">
        <f aca="false">62806-C13</f>
        <v>61492</v>
      </c>
      <c r="E13" s="24" t="n">
        <f aca="false">88190-(D13+C13)</f>
        <v>25384</v>
      </c>
      <c r="F13" s="24" t="n">
        <f aca="false">(99381)-(E13+D13+C13)</f>
        <v>11191</v>
      </c>
      <c r="G13" s="25" t="n">
        <f aca="false">SUM(C13:F13)</f>
        <v>99381</v>
      </c>
      <c r="H13" s="24" t="n">
        <f aca="false">2938</f>
        <v>2938</v>
      </c>
      <c r="I13" s="24" t="n">
        <f aca="false">82988-H13</f>
        <v>80050</v>
      </c>
      <c r="J13" s="24" t="n">
        <f aca="false">(149172)-(I13+H13)</f>
        <v>66184</v>
      </c>
      <c r="K13" s="24" t="n">
        <f aca="false">(145474)-(J13+I13+H13)</f>
        <v>-3698</v>
      </c>
      <c r="L13" s="25" t="n">
        <f aca="false">SUM(H13:K13)</f>
        <v>145474</v>
      </c>
      <c r="M13" s="24" t="n">
        <f aca="false">1532</f>
        <v>1532</v>
      </c>
      <c r="N13" s="21"/>
      <c r="O13" s="24" t="n">
        <f aca="false">B13</f>
        <v>140685</v>
      </c>
      <c r="P13" s="24" t="n">
        <f aca="false">G13</f>
        <v>99381</v>
      </c>
      <c r="Q13" s="24" t="n">
        <f aca="false">L13</f>
        <v>145474</v>
      </c>
      <c r="R13" s="24" t="n">
        <f aca="false">Q13*0.99</f>
        <v>144019.26</v>
      </c>
      <c r="S13" s="24" t="n">
        <f aca="false">R13*0.99</f>
        <v>142579.0674</v>
      </c>
      <c r="T13" s="24" t="n">
        <f aca="false">S13*0.99</f>
        <v>141153.276726</v>
      </c>
      <c r="U13" s="24" t="n">
        <f aca="false">T13*0.99</f>
        <v>139741.74395874</v>
      </c>
      <c r="V13" s="24" t="n">
        <f aca="false">U13*0.99</f>
        <v>138344.326519153</v>
      </c>
      <c r="W13" s="24" t="n">
        <f aca="false">V13*0.99</f>
        <v>136960.883253961</v>
      </c>
      <c r="X13" s="24" t="n">
        <f aca="false">W13*0.9</f>
        <v>123264.794928565</v>
      </c>
      <c r="Y13" s="24" t="n">
        <f aca="false">X13*0.9</f>
        <v>110938.315435708</v>
      </c>
      <c r="Z13" s="24" t="n">
        <f aca="false">Y13*0.9</f>
        <v>99844.4838921376</v>
      </c>
      <c r="AA13" s="24" t="n">
        <f aca="false">Z13*0.9</f>
        <v>89860.0355029238</v>
      </c>
      <c r="AB13" s="24" t="n">
        <f aca="false">AA13*0.9</f>
        <v>80874.0319526315</v>
      </c>
    </row>
    <row r="14" customFormat="false" ht="12.8" hidden="false" customHeight="false" outlineLevel="0" collapsed="false">
      <c r="A14" s="0" t="s">
        <v>45</v>
      </c>
      <c r="B14" s="24" t="n">
        <v>84862</v>
      </c>
      <c r="C14" s="24" t="n">
        <v>16721</v>
      </c>
      <c r="D14" s="24" t="n">
        <f aca="false">(30710)-C14</f>
        <v>13989</v>
      </c>
      <c r="E14" s="24" t="n">
        <f aca="false">(44091)-(D14+C14)</f>
        <v>13381</v>
      </c>
      <c r="F14" s="24" t="n">
        <f aca="false">(57308)-(E14+D14+C14)</f>
        <v>13217</v>
      </c>
      <c r="G14" s="25" t="n">
        <f aca="false">SUM(C14:F14)</f>
        <v>57308</v>
      </c>
      <c r="H14" s="24" t="n">
        <f aca="false">12325</f>
        <v>12325</v>
      </c>
      <c r="I14" s="24" t="n">
        <f aca="false">(23507)</f>
        <v>23507</v>
      </c>
      <c r="J14" s="24" t="n">
        <f aca="false">(31370)-(I14+H14)</f>
        <v>-4462</v>
      </c>
      <c r="K14" s="24" t="n">
        <f aca="false">(33061)-(J14+I14+H14)</f>
        <v>1691</v>
      </c>
      <c r="L14" s="25" t="n">
        <f aca="false">SUM(H14:K14)</f>
        <v>33061</v>
      </c>
      <c r="M14" s="24" t="n">
        <f aca="false">3927</f>
        <v>3927</v>
      </c>
      <c r="N14" s="21"/>
      <c r="O14" s="24" t="n">
        <f aca="false">B14</f>
        <v>84862</v>
      </c>
      <c r="P14" s="24" t="n">
        <f aca="false">G14</f>
        <v>57308</v>
      </c>
      <c r="Q14" s="24" t="n">
        <f aca="false">L14</f>
        <v>33061</v>
      </c>
      <c r="R14" s="24" t="n">
        <f aca="false">Q14*0.99</f>
        <v>32730.39</v>
      </c>
      <c r="S14" s="24" t="n">
        <f aca="false">R14*0.99</f>
        <v>32403.0861</v>
      </c>
      <c r="T14" s="24" t="n">
        <f aca="false">S14*0.99</f>
        <v>32079.055239</v>
      </c>
      <c r="U14" s="24" t="n">
        <f aca="false">T14*0.99</f>
        <v>31758.26468661</v>
      </c>
      <c r="V14" s="24" t="n">
        <f aca="false">U14*0.99</f>
        <v>31440.6820397439</v>
      </c>
      <c r="W14" s="24" t="n">
        <f aca="false">V14*0.99</f>
        <v>31126.2752193465</v>
      </c>
      <c r="X14" s="24" t="n">
        <f aca="false">W14*0.9</f>
        <v>28013.6476974118</v>
      </c>
      <c r="Y14" s="24" t="n">
        <f aca="false">X14*0.9</f>
        <v>25212.2829276706</v>
      </c>
      <c r="Z14" s="24" t="n">
        <f aca="false">Y14*0.9</f>
        <v>22691.0546349036</v>
      </c>
      <c r="AA14" s="24" t="n">
        <f aca="false">Z14*0.9</f>
        <v>20421.9491714132</v>
      </c>
      <c r="AB14" s="24" t="n">
        <f aca="false">AA14*0.9</f>
        <v>18379.7542542719</v>
      </c>
    </row>
    <row r="15" customFormat="false" ht="12.8" hidden="false" customHeight="false" outlineLevel="0" collapsed="false">
      <c r="A15" s="0" t="s">
        <v>46</v>
      </c>
      <c r="B15" s="26" t="n">
        <f aca="false">+B13-B14</f>
        <v>55823</v>
      </c>
      <c r="C15" s="26" t="n">
        <f aca="false">+C13-C14</f>
        <v>-15407</v>
      </c>
      <c r="D15" s="26" t="n">
        <f aca="false">+D13-D14</f>
        <v>47503</v>
      </c>
      <c r="E15" s="26" t="n">
        <f aca="false">+E13-E14</f>
        <v>12003</v>
      </c>
      <c r="F15" s="26" t="n">
        <f aca="false">+F13-F14</f>
        <v>-2026</v>
      </c>
      <c r="G15" s="27" t="n">
        <f aca="false">SUM(C15:F15)</f>
        <v>42073</v>
      </c>
      <c r="H15" s="26" t="n">
        <f aca="false">+H13-H14</f>
        <v>-9387</v>
      </c>
      <c r="I15" s="26" t="n">
        <f aca="false">+I13-I14</f>
        <v>56543</v>
      </c>
      <c r="J15" s="26" t="n">
        <f aca="false">+J13-J14</f>
        <v>70646</v>
      </c>
      <c r="K15" s="26" t="n">
        <f aca="false">+K13-K14</f>
        <v>-5389</v>
      </c>
      <c r="L15" s="27" t="n">
        <f aca="false">SUM(H15:K15)</f>
        <v>112413</v>
      </c>
      <c r="M15" s="26" t="n">
        <f aca="false">+M13-M14</f>
        <v>-2395</v>
      </c>
      <c r="N15" s="21"/>
      <c r="O15" s="26" t="n">
        <f aca="false">+O13-O14</f>
        <v>55823</v>
      </c>
      <c r="P15" s="26" t="n">
        <f aca="false">+P13-P14</f>
        <v>42073</v>
      </c>
      <c r="Q15" s="26" t="n">
        <f aca="false">+Q13-Q14</f>
        <v>112413</v>
      </c>
      <c r="R15" s="26" t="n">
        <f aca="false">+R13-R14</f>
        <v>111288.87</v>
      </c>
      <c r="S15" s="26" t="n">
        <f aca="false">+S13-S14</f>
        <v>110175.9813</v>
      </c>
      <c r="T15" s="26" t="n">
        <f aca="false">+T13-T14</f>
        <v>109074.221487</v>
      </c>
      <c r="U15" s="26" t="n">
        <f aca="false">+U13-U14</f>
        <v>107983.47927213</v>
      </c>
      <c r="V15" s="26" t="n">
        <f aca="false">+V13-V14</f>
        <v>106903.644479409</v>
      </c>
      <c r="W15" s="26" t="n">
        <f aca="false">+W13-W14</f>
        <v>105834.608034615</v>
      </c>
      <c r="X15" s="26" t="n">
        <f aca="false">+X13-X14</f>
        <v>95251.1472311531</v>
      </c>
      <c r="Y15" s="26" t="n">
        <f aca="false">+Y13-Y14</f>
        <v>85726.0325080378</v>
      </c>
      <c r="Z15" s="26" t="n">
        <f aca="false">+Z13-Z14</f>
        <v>77153.429257234</v>
      </c>
      <c r="AA15" s="26" t="n">
        <f aca="false">+AA13-AA14</f>
        <v>69438.0863315106</v>
      </c>
      <c r="AB15" s="26" t="n">
        <f aca="false">+AB13-AB14</f>
        <v>62494.2776983596</v>
      </c>
    </row>
    <row r="16" customFormat="false" ht="12.8" hidden="false" customHeight="false" outlineLevel="0" collapsed="false">
      <c r="A16" s="31" t="s">
        <v>47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2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customFormat="false" ht="12.8" hidden="false" customHeight="false" outlineLevel="0" collapsed="false">
      <c r="A17" s="0" t="s">
        <v>48</v>
      </c>
      <c r="B17" s="24" t="n">
        <f aca="false">292582</f>
        <v>292582</v>
      </c>
      <c r="C17" s="24" t="n">
        <f aca="false">6244</f>
        <v>6244</v>
      </c>
      <c r="D17" s="24" t="n">
        <f aca="false">24955-C17</f>
        <v>18711</v>
      </c>
      <c r="E17" s="24" t="n">
        <f aca="false">46019-(D17+C17)</f>
        <v>21064</v>
      </c>
      <c r="F17" s="24" t="n">
        <f aca="false">(107379)-(E17+D17+C17)</f>
        <v>61360</v>
      </c>
      <c r="G17" s="25" t="n">
        <f aca="false">SUM(C17:F17)</f>
        <v>107379</v>
      </c>
      <c r="H17" s="24" t="n">
        <f aca="false">21748</f>
        <v>21748</v>
      </c>
      <c r="I17" s="24" t="n">
        <f aca="false">(35355)-H17</f>
        <v>13607</v>
      </c>
      <c r="J17" s="24" t="n">
        <f aca="false">946005-(I17+H17)</f>
        <v>910650</v>
      </c>
      <c r="K17" s="24" t="n">
        <f aca="false">(1027337)-(J17+I17+H17)</f>
        <v>81332</v>
      </c>
      <c r="L17" s="25" t="n">
        <f aca="false">SUM(H17:K17)</f>
        <v>1027337</v>
      </c>
      <c r="M17" s="24" t="n">
        <f aca="false">11687</f>
        <v>11687</v>
      </c>
      <c r="N17" s="21"/>
      <c r="O17" s="24" t="n">
        <f aca="false">B17</f>
        <v>292582</v>
      </c>
      <c r="P17" s="24" t="n">
        <f aca="false">G17</f>
        <v>107379</v>
      </c>
      <c r="Q17" s="24" t="n">
        <f aca="false">L17</f>
        <v>1027337</v>
      </c>
      <c r="R17" s="24" t="n">
        <f aca="false">Q17*0.99</f>
        <v>1017063.63</v>
      </c>
      <c r="S17" s="24" t="n">
        <f aca="false">R17*0.99</f>
        <v>1006892.9937</v>
      </c>
      <c r="T17" s="24" t="n">
        <f aca="false">S17*0.99</f>
        <v>996824.063763</v>
      </c>
      <c r="U17" s="24" t="n">
        <f aca="false">T17*0.99</f>
        <v>986855.82312537</v>
      </c>
      <c r="V17" s="24" t="n">
        <f aca="false">U17*0.99</f>
        <v>976987.264894116</v>
      </c>
      <c r="W17" s="24" t="n">
        <f aca="false">V17*0.99</f>
        <v>967217.392245175</v>
      </c>
      <c r="X17" s="24" t="n">
        <f aca="false">W17*0.9</f>
        <v>870495.653020658</v>
      </c>
      <c r="Y17" s="24" t="n">
        <f aca="false">X17*0.9</f>
        <v>783446.087718592</v>
      </c>
      <c r="Z17" s="24" t="n">
        <f aca="false">Y17*0.9</f>
        <v>705101.478946733</v>
      </c>
      <c r="AA17" s="24" t="n">
        <f aca="false">Z17*0.9</f>
        <v>634591.331052059</v>
      </c>
      <c r="AB17" s="24" t="n">
        <f aca="false">AA17*0.9</f>
        <v>571132.197946853</v>
      </c>
    </row>
    <row r="18" customFormat="false" ht="12.8" hidden="false" customHeight="false" outlineLevel="0" collapsed="false">
      <c r="A18" s="0" t="s">
        <v>49</v>
      </c>
      <c r="B18" s="24" t="n">
        <f aca="false">125751</f>
        <v>125751</v>
      </c>
      <c r="C18" s="24" t="n">
        <v>11364</v>
      </c>
      <c r="D18" s="24" t="n">
        <f aca="false">(15932)-C18</f>
        <v>4568</v>
      </c>
      <c r="E18" s="24" t="n">
        <f aca="false">(36877)-(D18+C18)</f>
        <v>20945</v>
      </c>
      <c r="F18" s="24" t="n">
        <f aca="false">(47779)-(E18+D18+C18)</f>
        <v>10902</v>
      </c>
      <c r="G18" s="25" t="n">
        <f aca="false">SUM(C18:F18)</f>
        <v>47779</v>
      </c>
      <c r="H18" s="24" t="n">
        <f aca="false">9712</f>
        <v>9712</v>
      </c>
      <c r="I18" s="24" t="n">
        <f aca="false">(10686)-H18</f>
        <v>974</v>
      </c>
      <c r="J18" s="24" t="n">
        <f aca="false">(32790)-(I18+H18)</f>
        <v>22104</v>
      </c>
      <c r="K18" s="24" t="n">
        <f aca="false">(46013)-(J18+I18+H18)</f>
        <v>13223</v>
      </c>
      <c r="L18" s="25" t="n">
        <f aca="false">SUM(H18:K18)</f>
        <v>46013</v>
      </c>
      <c r="M18" s="24" t="n">
        <f aca="false">14992</f>
        <v>14992</v>
      </c>
      <c r="N18" s="21"/>
      <c r="O18" s="24" t="n">
        <f aca="false">B18</f>
        <v>125751</v>
      </c>
      <c r="P18" s="24" t="n">
        <f aca="false">G18</f>
        <v>47779</v>
      </c>
      <c r="Q18" s="24" t="n">
        <f aca="false">L18</f>
        <v>46013</v>
      </c>
      <c r="R18" s="24" t="n">
        <f aca="false">Q18*0.99</f>
        <v>45552.87</v>
      </c>
      <c r="S18" s="24" t="n">
        <f aca="false">R18*0.99</f>
        <v>45097.3413</v>
      </c>
      <c r="T18" s="24" t="n">
        <f aca="false">S18*0.99</f>
        <v>44646.367887</v>
      </c>
      <c r="U18" s="24" t="n">
        <f aca="false">T18*0.99</f>
        <v>44199.90420813</v>
      </c>
      <c r="V18" s="24" t="n">
        <f aca="false">U18*0.99</f>
        <v>43757.9051660487</v>
      </c>
      <c r="W18" s="24" t="n">
        <f aca="false">V18*0.99</f>
        <v>43320.3261143882</v>
      </c>
      <c r="X18" s="24" t="n">
        <f aca="false">W18*0.9</f>
        <v>38988.2935029494</v>
      </c>
      <c r="Y18" s="24" t="n">
        <f aca="false">X18*0.9</f>
        <v>35089.4641526544</v>
      </c>
      <c r="Z18" s="24" t="n">
        <f aca="false">Y18*0.9</f>
        <v>31580.517737389</v>
      </c>
      <c r="AA18" s="24" t="n">
        <f aca="false">Z18*0.9</f>
        <v>28422.4659636501</v>
      </c>
      <c r="AB18" s="24" t="n">
        <f aca="false">AA18*0.9</f>
        <v>25580.2193672851</v>
      </c>
    </row>
    <row r="19" customFormat="false" ht="12.8" hidden="false" customHeight="false" outlineLevel="0" collapsed="false">
      <c r="A19" s="0" t="s">
        <v>50</v>
      </c>
      <c r="B19" s="26" t="n">
        <f aca="false">B17-B18</f>
        <v>166831</v>
      </c>
      <c r="C19" s="26" t="n">
        <f aca="false">C17-C18</f>
        <v>-5120</v>
      </c>
      <c r="D19" s="26" t="n">
        <f aca="false">+D17-D18</f>
        <v>14143</v>
      </c>
      <c r="E19" s="26" t="n">
        <f aca="false">+E17-E18</f>
        <v>119</v>
      </c>
      <c r="F19" s="26" t="n">
        <f aca="false">+F17-F18</f>
        <v>50458</v>
      </c>
      <c r="G19" s="27" t="n">
        <f aca="false">SUM(C19:F19)</f>
        <v>59600</v>
      </c>
      <c r="H19" s="26" t="n">
        <f aca="false">+H17-H18</f>
        <v>12036</v>
      </c>
      <c r="I19" s="26" t="n">
        <f aca="false">+I17-I18</f>
        <v>12633</v>
      </c>
      <c r="J19" s="26" t="n">
        <f aca="false">+J17-J18</f>
        <v>888546</v>
      </c>
      <c r="K19" s="26" t="n">
        <f aca="false">+K17-K18</f>
        <v>68109</v>
      </c>
      <c r="L19" s="27" t="n">
        <f aca="false">SUM(H19:K19)</f>
        <v>981324</v>
      </c>
      <c r="M19" s="26" t="n">
        <f aca="false">+M17-M18</f>
        <v>-3305</v>
      </c>
      <c r="N19" s="21"/>
      <c r="O19" s="26" t="n">
        <f aca="false">+O17-O18</f>
        <v>166831</v>
      </c>
      <c r="P19" s="26" t="n">
        <f aca="false">+P17-P18</f>
        <v>59600</v>
      </c>
      <c r="Q19" s="26" t="n">
        <f aca="false">+Q17-Q18</f>
        <v>981324</v>
      </c>
      <c r="R19" s="26" t="n">
        <f aca="false">+R17-R18</f>
        <v>971510.76</v>
      </c>
      <c r="S19" s="26" t="n">
        <f aca="false">+S17-S18</f>
        <v>961795.6524</v>
      </c>
      <c r="T19" s="26" t="n">
        <f aca="false">+T17-T18</f>
        <v>952177.695876</v>
      </c>
      <c r="U19" s="26" t="n">
        <f aca="false">+U17-U18</f>
        <v>942655.91891724</v>
      </c>
      <c r="V19" s="26" t="n">
        <f aca="false">+V17-V18</f>
        <v>933229.359728067</v>
      </c>
      <c r="W19" s="26" t="n">
        <f aca="false">+W17-W18</f>
        <v>923897.066130787</v>
      </c>
      <c r="X19" s="26" t="n">
        <f aca="false">+X17-X18</f>
        <v>831507.359517708</v>
      </c>
      <c r="Y19" s="26" t="n">
        <f aca="false">+Y17-Y18</f>
        <v>748356.623565938</v>
      </c>
      <c r="Z19" s="26" t="n">
        <f aca="false">+Z17-Z18</f>
        <v>673520.961209344</v>
      </c>
      <c r="AA19" s="26" t="n">
        <f aca="false">+AA17-AA18</f>
        <v>606168.865088409</v>
      </c>
      <c r="AB19" s="26" t="n">
        <f aca="false">+AB17-AB18</f>
        <v>545551.978579568</v>
      </c>
    </row>
    <row r="20" customFormat="false" ht="12.8" hidden="false" customHeight="false" outlineLevel="0" collapsed="false">
      <c r="A20" s="32" t="s">
        <v>51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21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2.8" hidden="false" customHeight="false" outlineLevel="0" collapsed="false">
      <c r="A21" s="0" t="s">
        <v>52</v>
      </c>
      <c r="B21" s="29" t="n">
        <f aca="false">+B11+B15+B19</f>
        <v>260200</v>
      </c>
      <c r="C21" s="29" t="n">
        <f aca="false">+C11+C15+C19</f>
        <v>115863</v>
      </c>
      <c r="D21" s="29" t="n">
        <f aca="false">+D11+D15+D19</f>
        <v>39286</v>
      </c>
      <c r="E21" s="29" t="n">
        <f aca="false">+E11+E15+E19</f>
        <v>200078</v>
      </c>
      <c r="F21" s="29" t="n">
        <f aca="false">+F11+F15+F19</f>
        <v>188619</v>
      </c>
      <c r="G21" s="33" t="n">
        <f aca="false">SUM(C21:F21)</f>
        <v>543846</v>
      </c>
      <c r="H21" s="29" t="n">
        <f aca="false">+H11+H15+H19</f>
        <v>109439</v>
      </c>
      <c r="I21" s="29" t="n">
        <f aca="false">+I11+I15+I19</f>
        <v>240965</v>
      </c>
      <c r="J21" s="29" t="n">
        <f aca="false">+J11+J15+J19</f>
        <v>1233025</v>
      </c>
      <c r="K21" s="29" t="n">
        <f aca="false">+K11+K15+K19</f>
        <v>726944</v>
      </c>
      <c r="L21" s="33" t="n">
        <f aca="false">SUM(H21:K21)</f>
        <v>2310373</v>
      </c>
      <c r="M21" s="29" t="n">
        <f aca="false">+M11+M15+M19</f>
        <v>266743</v>
      </c>
      <c r="N21" s="21"/>
      <c r="O21" s="29" t="n">
        <f aca="false">+O11+O15+O19</f>
        <v>260200</v>
      </c>
      <c r="P21" s="29" t="n">
        <f aca="false">+P11+P15+P19</f>
        <v>543846</v>
      </c>
      <c r="Q21" s="29" t="n">
        <f aca="false">+Q11+Q15+Q19</f>
        <v>2310373</v>
      </c>
      <c r="R21" s="29" t="n">
        <f aca="false">+R11+R15+R19</f>
        <v>2287269.27</v>
      </c>
      <c r="S21" s="29" t="n">
        <f aca="false">+S11+S15+S19</f>
        <v>2264396.5773</v>
      </c>
      <c r="T21" s="29" t="n">
        <f aca="false">+T11+T15+T19</f>
        <v>2241752.611527</v>
      </c>
      <c r="U21" s="29" t="n">
        <f aca="false">+U11+U15+U19</f>
        <v>2219335.08541173</v>
      </c>
      <c r="V21" s="29" t="n">
        <f aca="false">+V11+V15+V19</f>
        <v>2197141.73455761</v>
      </c>
      <c r="W21" s="29" t="n">
        <f aca="false">+W11+W15+W19</f>
        <v>2175170.31721203</v>
      </c>
      <c r="X21" s="29" t="n">
        <f aca="false">+X11+X15+X19</f>
        <v>1957653.28549083</v>
      </c>
      <c r="Y21" s="29" t="n">
        <f aca="false">+Y11+Y15+Y19</f>
        <v>1761887.95694175</v>
      </c>
      <c r="Z21" s="29" t="n">
        <f aca="false">+Z11+Z15+Z19</f>
        <v>1585699.16124757</v>
      </c>
      <c r="AA21" s="29" t="n">
        <f aca="false">+AA11+AA15+AA19</f>
        <v>1427129.24512281</v>
      </c>
      <c r="AB21" s="29" t="n">
        <f aca="false">+AB11+AB15+AB19</f>
        <v>1284416.32061053</v>
      </c>
    </row>
    <row r="22" customFormat="false" ht="12.8" hidden="false" customHeight="false" outlineLevel="0" collapsed="false">
      <c r="A22" s="0" t="s">
        <v>53</v>
      </c>
      <c r="B22" s="24" t="n">
        <v>92406</v>
      </c>
      <c r="C22" s="24" t="n">
        <v>3714</v>
      </c>
      <c r="D22" s="24" t="n">
        <f aca="false">(3952)-C22</f>
        <v>238</v>
      </c>
      <c r="E22" s="24" t="n">
        <f aca="false">(16930)-(D22+C22)</f>
        <v>12978</v>
      </c>
      <c r="F22" s="24" t="n">
        <f aca="false">(34984)-(E22+D22+C22)</f>
        <v>18054</v>
      </c>
      <c r="G22" s="25" t="n">
        <f aca="false">SUM(C22:F22)</f>
        <v>34984</v>
      </c>
      <c r="H22" s="24" t="n">
        <v>4623</v>
      </c>
      <c r="I22" s="24" t="n">
        <f aca="false">(15365)-H22</f>
        <v>10742</v>
      </c>
      <c r="J22" s="24" t="n">
        <f aca="false">(193446)-(I22+H22)</f>
        <v>178081</v>
      </c>
      <c r="K22" s="24" t="n">
        <f aca="false">(155844)-(J22+I22+H22)</f>
        <v>-37602</v>
      </c>
      <c r="L22" s="25" t="n">
        <f aca="false">SUM(H22:K22)</f>
        <v>155844</v>
      </c>
      <c r="M22" s="24" t="n">
        <v>21209</v>
      </c>
      <c r="N22" s="21"/>
      <c r="O22" s="24" t="n">
        <f aca="false">B22</f>
        <v>92406</v>
      </c>
      <c r="P22" s="24" t="n">
        <f aca="false">G22</f>
        <v>34984</v>
      </c>
      <c r="Q22" s="24" t="n">
        <f aca="false">L22</f>
        <v>155844</v>
      </c>
      <c r="R22" s="24" t="n">
        <f aca="false">Q22*0.99</f>
        <v>154285.56</v>
      </c>
      <c r="S22" s="24" t="n">
        <f aca="false">R22*0.99</f>
        <v>152742.7044</v>
      </c>
      <c r="T22" s="24" t="n">
        <f aca="false">S22*0.99</f>
        <v>151215.277356</v>
      </c>
      <c r="U22" s="24" t="n">
        <f aca="false">T22*0.99</f>
        <v>149703.12458244</v>
      </c>
      <c r="V22" s="24" t="n">
        <f aca="false">U22*0.99</f>
        <v>148206.093336616</v>
      </c>
      <c r="W22" s="24" t="n">
        <f aca="false">V22*0.99</f>
        <v>146724.032403249</v>
      </c>
      <c r="X22" s="24" t="n">
        <f aca="false">W22*0.9</f>
        <v>132051.629162924</v>
      </c>
      <c r="Y22" s="24" t="n">
        <f aca="false">X22*0.9</f>
        <v>118846.466246632</v>
      </c>
      <c r="Z22" s="24" t="n">
        <f aca="false">Y22*0.9</f>
        <v>106961.819621969</v>
      </c>
      <c r="AA22" s="24" t="n">
        <f aca="false">Z22*0.9</f>
        <v>96265.637659772</v>
      </c>
      <c r="AB22" s="24" t="n">
        <f aca="false">AA22*0.9</f>
        <v>86639.0738937948</v>
      </c>
    </row>
    <row r="23" customFormat="false" ht="12.8" hidden="false" customHeight="false" outlineLevel="0" collapsed="false">
      <c r="A23" s="0" t="s">
        <v>54</v>
      </c>
      <c r="B23" s="34" t="n">
        <f aca="false">+B21-B22</f>
        <v>167794</v>
      </c>
      <c r="C23" s="34" t="n">
        <f aca="false">+C21-C22</f>
        <v>112149</v>
      </c>
      <c r="D23" s="34" t="n">
        <f aca="false">+D21-D22</f>
        <v>39048</v>
      </c>
      <c r="E23" s="34" t="n">
        <f aca="false">+E21-E22</f>
        <v>187100</v>
      </c>
      <c r="F23" s="34" t="n">
        <f aca="false">+F21-F22</f>
        <v>170565</v>
      </c>
      <c r="G23" s="35" t="n">
        <f aca="false">SUM(C23:F23)</f>
        <v>508862</v>
      </c>
      <c r="H23" s="34" t="n">
        <f aca="false">+H21-H22</f>
        <v>104816</v>
      </c>
      <c r="I23" s="34" t="n">
        <f aca="false">+I21-I22</f>
        <v>230223</v>
      </c>
      <c r="J23" s="34" t="n">
        <f aca="false">+J21-J22</f>
        <v>1054944</v>
      </c>
      <c r="K23" s="34" t="n">
        <f aca="false">+K21-K22</f>
        <v>764546</v>
      </c>
      <c r="L23" s="35" t="n">
        <f aca="false">SUM(H23:K23)</f>
        <v>2154529</v>
      </c>
      <c r="M23" s="34" t="n">
        <f aca="false">+M21-M22</f>
        <v>245534</v>
      </c>
      <c r="N23" s="21"/>
      <c r="O23" s="34" t="n">
        <f aca="false">+O21-O22</f>
        <v>167794</v>
      </c>
      <c r="P23" s="34" t="n">
        <f aca="false">+P21-P22</f>
        <v>508862</v>
      </c>
      <c r="Q23" s="34" t="n">
        <f aca="false">+Q21-Q22</f>
        <v>2154529</v>
      </c>
      <c r="R23" s="34" t="n">
        <f aca="false">+R21-R22*(1+C26)</f>
        <v>2140697.988</v>
      </c>
      <c r="S23" s="34" t="n">
        <f aca="false">+S21-S22*(1+D26)</f>
        <v>2119291.00812</v>
      </c>
      <c r="T23" s="34" t="n">
        <f aca="false">+T21-T22*(1+E26)</f>
        <v>2098098.0980388</v>
      </c>
      <c r="U23" s="34" t="n">
        <f aca="false">+U21-U22*(1+F26)</f>
        <v>2077117.11705841</v>
      </c>
      <c r="V23" s="34" t="n">
        <f aca="false">+V21-V22*(1+G26)</f>
        <v>2056345.94588783</v>
      </c>
      <c r="W23" s="34" t="n">
        <f aca="false">+W21-W22*(1+H26)</f>
        <v>2035782.48642895</v>
      </c>
      <c r="X23" s="34" t="n">
        <f aca="false">+X21-X22*(1+I26)</f>
        <v>1832204.23778605</v>
      </c>
      <c r="Y23" s="34" t="n">
        <f aca="false">+Y21-Y22*(1+J26)</f>
        <v>1648983.81400745</v>
      </c>
      <c r="Z23" s="34" t="n">
        <f aca="false">+Z21-Z22*(1+K26)</f>
        <v>1484085.4326067</v>
      </c>
      <c r="AA23" s="34" t="n">
        <f aca="false">+AA21-AA22*(1+L26)</f>
        <v>1335676.88934603</v>
      </c>
      <c r="AB23" s="34" t="n">
        <f aca="false">+AB21-AB22*(1+M26)</f>
        <v>1202109.20041143</v>
      </c>
    </row>
    <row r="24" customFormat="false" ht="12.8" hidden="false" customHeight="false" outlineLevel="0" collapsed="false">
      <c r="A24" s="6"/>
      <c r="B24" s="6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customFormat="false" ht="12.8" hidden="false" customHeight="false" outlineLevel="0" collapsed="false">
      <c r="A25" s="0" t="s">
        <v>55</v>
      </c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</row>
    <row r="26" customFormat="false" ht="12.8" hidden="false" customHeight="false" outlineLevel="0" collapsed="false">
      <c r="A26" s="0" t="s">
        <v>56</v>
      </c>
      <c r="B26" s="39"/>
      <c r="C26" s="40" t="n">
        <v>-0.05</v>
      </c>
      <c r="D26" s="40" t="n">
        <v>-0.05</v>
      </c>
      <c r="E26" s="40" t="n">
        <v>-0.05</v>
      </c>
      <c r="F26" s="40" t="n">
        <v>-0.05</v>
      </c>
      <c r="G26" s="40" t="n">
        <v>-0.05</v>
      </c>
      <c r="H26" s="40" t="n">
        <v>-0.05</v>
      </c>
      <c r="I26" s="40" t="n">
        <v>-0.05</v>
      </c>
      <c r="J26" s="40" t="n">
        <v>-0.05</v>
      </c>
      <c r="K26" s="40" t="n">
        <v>-0.05</v>
      </c>
      <c r="L26" s="40" t="n">
        <v>-0.05</v>
      </c>
      <c r="M26" s="40" t="n">
        <v>-0.05</v>
      </c>
      <c r="N26" s="40" t="n">
        <v>-0.05</v>
      </c>
      <c r="O26" s="40" t="n">
        <v>-0.05</v>
      </c>
      <c r="P26" s="40" t="n">
        <v>-0.05</v>
      </c>
      <c r="Q26" s="40" t="n">
        <v>-0.05</v>
      </c>
      <c r="R26" s="40" t="n">
        <v>-0.05</v>
      </c>
      <c r="S26" s="40" t="n">
        <v>-0.05</v>
      </c>
      <c r="T26" s="40" t="n">
        <v>-0.05</v>
      </c>
      <c r="U26" s="40" t="n">
        <v>-0.05</v>
      </c>
      <c r="V26" s="40" t="n">
        <v>-0.05</v>
      </c>
      <c r="W26" s="40" t="n">
        <v>-0.05</v>
      </c>
      <c r="X26" s="40" t="n">
        <v>-0.05</v>
      </c>
      <c r="Y26" s="40" t="n">
        <v>-0.05</v>
      </c>
      <c r="Z26" s="40" t="n">
        <v>-0.05</v>
      </c>
      <c r="AA26" s="40" t="n">
        <v>-0.05</v>
      </c>
      <c r="AB26" s="40" t="n">
        <v>-0.05</v>
      </c>
    </row>
    <row r="27" customFormat="false" ht="12.8" hidden="false" customHeight="false" outlineLevel="0" collapsed="false">
      <c r="A27" s="0" t="s">
        <v>57</v>
      </c>
      <c r="B27" s="39"/>
      <c r="C27" s="41" t="n">
        <v>0.1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customFormat="false" ht="12.8" hidden="false" customHeight="false" outlineLevel="0" collapsed="false">
      <c r="B28" s="39"/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customFormat="false" ht="12.8" hidden="false" customHeight="false" outlineLevel="0" collapsed="false">
      <c r="A29" s="0" t="s">
        <v>58</v>
      </c>
      <c r="B29" s="39"/>
      <c r="C29" s="16" t="n">
        <f aca="false">NPV(C27,R23:AB23)</f>
        <v>12393739.4305326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customFormat="false" ht="12.8" hidden="false" customHeight="false" outlineLevel="0" collapsed="false">
      <c r="A30" s="0" t="s">
        <v>18</v>
      </c>
      <c r="B30" s="39"/>
      <c r="C30" s="16" t="n">
        <f aca="false">+Опис!E7</f>
        <v>1307306.3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customFormat="false" ht="12.8" hidden="false" customHeight="false" outlineLevel="0" collapsed="false">
      <c r="A31" s="0" t="s">
        <v>59</v>
      </c>
      <c r="B31" s="39"/>
      <c r="C31" s="16" t="n">
        <f aca="false">C29+C30</f>
        <v>13701045.7305326</v>
      </c>
    </row>
    <row r="32" customFormat="false" ht="12.8" hidden="false" customHeight="false" outlineLevel="0" collapsed="false">
      <c r="A32" s="0" t="s">
        <v>60</v>
      </c>
      <c r="B32" s="39"/>
      <c r="C32" s="16" t="n">
        <f aca="false">C31/Опис!E6</f>
        <v>135461.053772279</v>
      </c>
    </row>
    <row r="33" customFormat="false" ht="12.8" hidden="false" customHeight="false" outlineLevel="0" collapsed="false">
      <c r="A33" s="0" t="s">
        <v>61</v>
      </c>
      <c r="B33" s="39"/>
      <c r="C33" s="43" t="n">
        <f aca="false">Опис!E5</f>
        <v>76033.33</v>
      </c>
    </row>
    <row r="34" customFormat="false" ht="12.8" hidden="false" customHeight="false" outlineLevel="0" collapsed="false">
      <c r="A34" s="0" t="s">
        <v>62</v>
      </c>
      <c r="B34" s="39"/>
      <c r="C34" s="44" t="n">
        <f aca="false">E35/C33-1</f>
        <v>0.944324975097933</v>
      </c>
      <c r="D34" s="1" t="s">
        <v>63</v>
      </c>
      <c r="E34" s="1" t="s">
        <v>64</v>
      </c>
      <c r="F34" s="1" t="s">
        <v>65</v>
      </c>
    </row>
    <row r="35" customFormat="false" ht="12.8" hidden="false" customHeight="false" outlineLevel="0" collapsed="false">
      <c r="A35" s="0" t="s">
        <v>66</v>
      </c>
      <c r="B35" s="39"/>
      <c r="C35" s="45" t="n">
        <f aca="false">C32*1.015</f>
        <v>137492.969578863</v>
      </c>
      <c r="D35" s="46" t="n">
        <f aca="false">C33*0.0272*5</f>
        <v>10340.53288</v>
      </c>
      <c r="E35" s="46" t="n">
        <f aca="false">C35+D35</f>
        <v>147833.502458863</v>
      </c>
    </row>
    <row r="36" customFormat="false" ht="12.8" hidden="false" customHeight="false" outlineLevel="0" collapsed="false">
      <c r="A36" s="0" t="s">
        <v>67</v>
      </c>
      <c r="B36" s="39"/>
      <c r="C36" s="45" t="n">
        <f aca="false">C32-C35</f>
        <v>-2031.91580658418</v>
      </c>
    </row>
    <row r="37" customFormat="false" ht="12.8" hidden="false" customHeight="false" outlineLevel="0" collapsed="false">
      <c r="B37" s="47" t="s">
        <v>68</v>
      </c>
      <c r="G37" s="47" t="s">
        <v>68</v>
      </c>
      <c r="L37" s="47" t="s">
        <v>68</v>
      </c>
    </row>
    <row r="38" customFormat="false" ht="12.8" hidden="false" customHeight="false" outlineLevel="0" collapsed="false">
      <c r="A38" s="0" t="s">
        <v>69</v>
      </c>
      <c r="B38" s="48" t="n">
        <f aca="false">B6/B4</f>
        <v>0.0119597654411771</v>
      </c>
      <c r="C38" s="49" t="n">
        <f aca="false">C6/C4</f>
        <v>0.0390927458506696</v>
      </c>
      <c r="D38" s="49" t="n">
        <f aca="false">D6/D4</f>
        <v>0.00860192919426066</v>
      </c>
      <c r="E38" s="49" t="n">
        <f aca="false">E6/E4</f>
        <v>0.0501379246620464</v>
      </c>
      <c r="F38" s="49" t="n">
        <f aca="false">F6/F4</f>
        <v>0.0449313718443943</v>
      </c>
      <c r="G38" s="48" t="n">
        <f aca="false">G6/G4</f>
        <v>0.0378910181677057</v>
      </c>
      <c r="H38" s="49" t="n">
        <f aca="false">H6/H4</f>
        <v>0.039388263790117</v>
      </c>
      <c r="I38" s="49" t="n">
        <f aca="false">I6/I4</f>
        <v>0.0445507097118835</v>
      </c>
      <c r="J38" s="49" t="n">
        <f aca="false">J6/J4</f>
        <v>0.0499337366219717</v>
      </c>
      <c r="K38" s="49" t="n">
        <f aca="false">K6/K4</f>
        <v>0.11800696915276</v>
      </c>
      <c r="L38" s="48" t="n">
        <f aca="false">L6/L4</f>
        <v>0.0662553636089599</v>
      </c>
      <c r="M38" s="49" t="n">
        <f aca="false">M6/M4</f>
        <v>0.0453718466570813</v>
      </c>
    </row>
    <row r="39" customFormat="false" ht="12.8" hidden="false" customHeight="false" outlineLevel="0" collapsed="false">
      <c r="A39" s="0" t="s">
        <v>70</v>
      </c>
      <c r="B39" s="48" t="n">
        <f aca="false">B11/B4</f>
        <v>0.00173664704547521</v>
      </c>
      <c r="C39" s="49" t="n">
        <f aca="false">C11/C4</f>
        <v>0.0281766083949311</v>
      </c>
      <c r="D39" s="49" t="n">
        <f aca="false">D11/D4</f>
        <v>-0.0071918612318153</v>
      </c>
      <c r="E39" s="49" t="n">
        <f aca="false">E11/E4</f>
        <v>0.0416479520918703</v>
      </c>
      <c r="F39" s="49" t="n">
        <f aca="false">F11/F4</f>
        <v>0.0329264357092829</v>
      </c>
      <c r="G39" s="48" t="n">
        <f aca="false">G11/G4</f>
        <v>0.0264454957765663</v>
      </c>
      <c r="H39" s="49" t="n">
        <f aca="false">H11/H4</f>
        <v>0.0268544913564699</v>
      </c>
      <c r="I39" s="49" t="n">
        <f aca="false">I11/I4</f>
        <v>0.0351873631998545</v>
      </c>
      <c r="J39" s="49" t="n">
        <f aca="false">J11/J4</f>
        <v>0.0422470304904107</v>
      </c>
      <c r="K39" s="49" t="n">
        <f aca="false">K11/K4</f>
        <v>0.107893868237141</v>
      </c>
      <c r="L39" s="48" t="n">
        <f aca="false">L11/L4</f>
        <v>0.056596355164881</v>
      </c>
      <c r="M39" s="49" t="n">
        <f aca="false">M11/M4</f>
        <v>0.0385020651317074</v>
      </c>
    </row>
    <row r="40" customFormat="false" ht="12.8" hidden="false" customHeight="false" outlineLevel="0" collapsed="false">
      <c r="A40" s="0" t="s">
        <v>71</v>
      </c>
      <c r="B40" s="48" t="n">
        <f aca="false">B23/B4</f>
        <v>0.00776111847729366</v>
      </c>
      <c r="C40" s="49" t="n">
        <f aca="false">C23/C4</f>
        <v>0.0231686960545724</v>
      </c>
      <c r="D40" s="49" t="n">
        <f aca="false">D23/D4</f>
        <v>0.0125593827092989</v>
      </c>
      <c r="E40" s="49" t="n">
        <f aca="false">E23/E4</f>
        <v>0.0414582765987196</v>
      </c>
      <c r="F40" s="49" t="n">
        <f aca="false">F23/F4</f>
        <v>0.0400614715112944</v>
      </c>
      <c r="G40" s="48" t="n">
        <f aca="false">G23/G4</f>
        <v>0.0304340334481189</v>
      </c>
      <c r="H40" s="49" t="n">
        <f aca="false">H23/H4</f>
        <v>0.0263580893905773</v>
      </c>
      <c r="I40" s="49" t="n">
        <f aca="false">I23/I4</f>
        <v>0.0471563389853838</v>
      </c>
      <c r="J40" s="49" t="n">
        <f aca="false">J23/J4</f>
        <v>0.162757050222858</v>
      </c>
      <c r="K40" s="49" t="n">
        <f aca="false">K23/K4</f>
        <v>0.124189769392905</v>
      </c>
      <c r="L40" s="48" t="n">
        <f aca="false">L23/L4</f>
        <v>0.100225941445951</v>
      </c>
      <c r="M40" s="49" t="n">
        <f aca="false">M23/M4</f>
        <v>0.0346992437318949</v>
      </c>
    </row>
    <row r="41" customFormat="false" ht="12.8" hidden="false" customHeight="false" outlineLevel="0" collapsed="false">
      <c r="A41" s="0" t="s">
        <v>72</v>
      </c>
      <c r="B41" s="48" t="n">
        <f aca="false">B22/B21</f>
        <v>0.355134511913912</v>
      </c>
      <c r="C41" s="49" t="n">
        <f aca="false">C22/C21</f>
        <v>0.0320550995572357</v>
      </c>
      <c r="D41" s="49" t="n">
        <f aca="false">D22/D21</f>
        <v>0.00605813775899812</v>
      </c>
      <c r="E41" s="49" t="n">
        <f aca="false">E22/E21</f>
        <v>0.0648647027659213</v>
      </c>
      <c r="F41" s="49" t="n">
        <f aca="false">F22/F21</f>
        <v>0.0957167623622223</v>
      </c>
      <c r="G41" s="48" t="n">
        <f aca="false">G22/G21</f>
        <v>0.0643270337558794</v>
      </c>
      <c r="H41" s="49" t="n">
        <f aca="false">H22/H21</f>
        <v>0.0422427105510833</v>
      </c>
      <c r="I41" s="49" t="n">
        <f aca="false">I22/I21</f>
        <v>0.0445790882493308</v>
      </c>
      <c r="J41" s="49" t="n">
        <f aca="false">J22/J21</f>
        <v>0.144426106526632</v>
      </c>
      <c r="K41" s="49" t="n">
        <f aca="false">K22/K21</f>
        <v>-0.0517261302108553</v>
      </c>
      <c r="L41" s="48" t="n">
        <f aca="false">L22/L21</f>
        <v>0.0674540431350262</v>
      </c>
      <c r="M41" s="49" t="n">
        <f aca="false">M22/M21</f>
        <v>0.0795109899791185</v>
      </c>
    </row>
    <row r="42" customFormat="false" ht="12.8" hidden="false" customHeight="false" outlineLevel="0" collapsed="false">
      <c r="A42" s="50" t="s">
        <v>73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customFormat="false" ht="12.8" hidden="false" customHeight="false" outlineLevel="0" collapsed="false">
      <c r="A43" s="51"/>
      <c r="B43" s="47" t="s">
        <v>68</v>
      </c>
      <c r="C43" s="49"/>
      <c r="D43" s="49"/>
      <c r="E43" s="49"/>
      <c r="F43" s="49"/>
      <c r="G43" s="47" t="s">
        <v>68</v>
      </c>
      <c r="H43" s="49"/>
      <c r="I43" s="49"/>
      <c r="J43" s="49"/>
      <c r="K43" s="49"/>
      <c r="L43" s="47" t="s">
        <v>68</v>
      </c>
      <c r="M43" s="49"/>
    </row>
    <row r="44" customFormat="false" ht="12.8" hidden="false" customHeight="false" outlineLevel="0" collapsed="false">
      <c r="A44" s="52" t="s">
        <v>74</v>
      </c>
      <c r="B44" s="48" t="n">
        <f aca="false">B11/SUM(B11,B15,B19)</f>
        <v>0.144296694850115</v>
      </c>
      <c r="C44" s="53" t="n">
        <f aca="false">C11/SUM(C11,C15,C19)</f>
        <v>1.17716613586736</v>
      </c>
      <c r="D44" s="53" t="n">
        <f aca="false">D11/SUM(D11,D15,D19)</f>
        <v>-0.56915949702184</v>
      </c>
      <c r="E44" s="53" t="n">
        <f aca="false">E11/SUM(E11,E15,E19)</f>
        <v>0.939413628684813</v>
      </c>
      <c r="F44" s="53" t="n">
        <f aca="false">F11/SUM(F11,F15,F19)</f>
        <v>0.743228412832217</v>
      </c>
      <c r="G44" s="48" t="n">
        <f aca="false">G11/SUM(G11,G15,G19)</f>
        <v>0.813048179080107</v>
      </c>
      <c r="H44" s="53" t="n">
        <f aca="false">H11/SUM(H11,H15,H19)</f>
        <v>0.975794734966511</v>
      </c>
      <c r="I44" s="53" t="n">
        <f aca="false">I11/SUM(I11,I15,I19)</f>
        <v>0.712920963625423</v>
      </c>
      <c r="J44" s="53" t="n">
        <f aca="false">J11/SUM(J11,J15,J19)</f>
        <v>0.222082277326088</v>
      </c>
      <c r="K44" s="53" t="n">
        <f aca="false">K11/SUM(K11,K15,K19)</f>
        <v>0.913721001892855</v>
      </c>
      <c r="L44" s="48" t="n">
        <f aca="false">L11/SUM(L11,L15,L19)</f>
        <v>0.526597220448819</v>
      </c>
      <c r="M44" s="53" t="n">
        <f aca="false">M11/SUM(M11,M15,M19)</f>
        <v>1.0213688831572</v>
      </c>
    </row>
    <row r="45" customFormat="false" ht="12.8" hidden="false" customHeight="false" outlineLevel="0" collapsed="false">
      <c r="A45" s="54" t="s">
        <v>75</v>
      </c>
      <c r="B45" s="48" t="n">
        <f aca="false">B15/SUM(B11,B15,B19)</f>
        <v>0.214538816295158</v>
      </c>
      <c r="C45" s="53" t="n">
        <f aca="false">C15/SUM(C11,C15,C19)</f>
        <v>-0.132976014776072</v>
      </c>
      <c r="D45" s="53" t="n">
        <f aca="false">D15/SUM(D11,D15,D19)</f>
        <v>1.20915847884743</v>
      </c>
      <c r="E45" s="53" t="n">
        <f aca="false">E15/SUM(E11,E15,E19)</f>
        <v>0.0599916032747229</v>
      </c>
      <c r="F45" s="53" t="n">
        <f aca="false">F15/SUM(F11,F15,F19)</f>
        <v>-0.0107412296746351</v>
      </c>
      <c r="G45" s="48" t="n">
        <f aca="false">G15/SUM(G11,G15,G19)</f>
        <v>0.077361973794052</v>
      </c>
      <c r="H45" s="53" t="n">
        <f aca="false">H15/SUM(H11,H15,H19)</f>
        <v>-0.085773810067709</v>
      </c>
      <c r="I45" s="53" t="n">
        <f aca="false">I15/SUM(I11,I15,I19)</f>
        <v>0.234652335401407</v>
      </c>
      <c r="J45" s="53" t="n">
        <f aca="false">J15/SUM(J11,J15,J19)</f>
        <v>0.0572948642566047</v>
      </c>
      <c r="K45" s="53" t="n">
        <f aca="false">K15/SUM(K11,K15,K19)</f>
        <v>-0.00741322577805168</v>
      </c>
      <c r="L45" s="48" t="n">
        <f aca="false">L15/SUM(L11,L15,L19)</f>
        <v>0.0486557798242968</v>
      </c>
      <c r="M45" s="53" t="n">
        <f aca="false">M15/SUM(M11,M15,M19)</f>
        <v>-0.00897867985289211</v>
      </c>
    </row>
    <row r="46" customFormat="false" ht="12.8" hidden="false" customHeight="false" outlineLevel="0" collapsed="false">
      <c r="A46" s="55" t="s">
        <v>76</v>
      </c>
      <c r="B46" s="48" t="n">
        <f aca="false">B19/SUM(B11,B15,B19)</f>
        <v>0.641164488854727</v>
      </c>
      <c r="C46" s="53" t="n">
        <f aca="false">C19/SUM(C11,C15,C19)</f>
        <v>-0.0441901210912889</v>
      </c>
      <c r="D46" s="53" t="n">
        <f aca="false">D19/SUM(D11,D15,D19)</f>
        <v>0.360001018174413</v>
      </c>
      <c r="E46" s="53" t="n">
        <f aca="false">E19/SUM(E11,E15,E19)</f>
        <v>0.000594768040464219</v>
      </c>
      <c r="F46" s="53" t="n">
        <f aca="false">F19/SUM(F11,F15,F19)</f>
        <v>0.267512816842418</v>
      </c>
      <c r="G46" s="48" t="n">
        <f aca="false">G19/SUM(G11,G15,G19)</f>
        <v>0.109589847125841</v>
      </c>
      <c r="H46" s="53" t="n">
        <f aca="false">H19/SUM(H11,H15,H19)</f>
        <v>0.109979075101198</v>
      </c>
      <c r="I46" s="53" t="n">
        <f aca="false">I19/SUM(I11,I15,I19)</f>
        <v>0.0524267009731704</v>
      </c>
      <c r="J46" s="53" t="n">
        <f aca="false">J19/SUM(J11,J15,J19)</f>
        <v>0.720622858417307</v>
      </c>
      <c r="K46" s="53" t="n">
        <f aca="false">K19/SUM(K11,K15,K19)</f>
        <v>0.0936922238851961</v>
      </c>
      <c r="L46" s="48" t="n">
        <f aca="false">L19/SUM(L11,L15,L19)</f>
        <v>0.424746999726884</v>
      </c>
      <c r="M46" s="53" t="n">
        <f aca="false">M19/SUM(M11,M15,M19)</f>
        <v>-0.0123902033043041</v>
      </c>
    </row>
    <row r="47" customFormat="false" ht="12.8" hidden="false" customHeight="false" outlineLevel="0" collapsed="false">
      <c r="G47" s="42"/>
      <c r="L47" s="19"/>
    </row>
    <row r="48" customFormat="false" ht="12.8" hidden="false" customHeight="false" outlineLevel="0" collapsed="false">
      <c r="A48" s="0" t="s">
        <v>77</v>
      </c>
      <c r="F48" s="49"/>
      <c r="G48" s="48" t="n">
        <f aca="false">(G6-B6)/B6</f>
        <v>1.45020265462083</v>
      </c>
      <c r="H48" s="49" t="n">
        <f aca="false">(H6-C6)/H6</f>
        <v>-0.20811839215486</v>
      </c>
      <c r="I48" s="49" t="n">
        <f aca="false">(I6-D6)/I6</f>
        <v>0.877040211124495</v>
      </c>
      <c r="J48" s="49" t="n">
        <f aca="false">(J6-E6)/J6</f>
        <v>0.300890451590578</v>
      </c>
      <c r="K48" s="49" t="n">
        <f aca="false">(K6-F6)/K6</f>
        <v>0.736677940158269</v>
      </c>
      <c r="L48" s="48" t="n">
        <f aca="false">(L6-G6)/L6</f>
        <v>0.555180783459351</v>
      </c>
      <c r="M48" s="49" t="n">
        <f aca="false">(M6-H6)/M6</f>
        <v>0.512131915503311</v>
      </c>
    </row>
    <row r="49" customFormat="false" ht="12.8" hidden="false" customHeight="false" outlineLevel="0" collapsed="false">
      <c r="A49" s="0" t="s">
        <v>78</v>
      </c>
      <c r="F49" s="49"/>
      <c r="G49" s="48" t="n">
        <f aca="false">(G5-B5)/B5</f>
        <v>-0.246925344364146</v>
      </c>
      <c r="H49" s="49" t="n">
        <f aca="false">(H5-C5)/H5</f>
        <v>-0.217625518850341</v>
      </c>
      <c r="I49" s="49" t="n">
        <f aca="false">(I5-D5)/I5</f>
        <v>0.339211768589939</v>
      </c>
      <c r="J49" s="49" t="n">
        <f aca="false">(J5-E5)/J5</f>
        <v>0.303887234506225</v>
      </c>
      <c r="K49" s="49" t="n">
        <f aca="false">(K5-F5)/K5</f>
        <v>0.251115835256213</v>
      </c>
      <c r="L49" s="48" t="n">
        <f aca="false">(L5-G5)/L5</f>
        <v>0.19857210234507</v>
      </c>
      <c r="M49" s="49" t="n">
        <f aca="false">(M5-H5)/M5</f>
        <v>0.434496006518423</v>
      </c>
    </row>
    <row r="50" customFormat="false" ht="12.8" hidden="false" customHeight="false" outlineLevel="0" collapsed="false">
      <c r="A50" s="0" t="s">
        <v>79</v>
      </c>
      <c r="F50" s="49"/>
      <c r="G50" s="48" t="n">
        <f aca="false">(G10-B10)/B10</f>
        <v>-0.134154066111066</v>
      </c>
      <c r="H50" s="49" t="n">
        <f aca="false">(H10-C10)/H10</f>
        <v>-0.0601500742345813</v>
      </c>
      <c r="I50" s="49" t="n">
        <f aca="false">(I10-D10)/I10</f>
        <v>-0.0741802113184433</v>
      </c>
      <c r="J50" s="49" t="n">
        <f aca="false">(J10-E10)/J10</f>
        <v>0.230977660919656</v>
      </c>
      <c r="K50" s="49" t="n">
        <f aca="false">(K10-F10)/K10</f>
        <v>0.179042387445992</v>
      </c>
      <c r="L50" s="48" t="n">
        <f aca="false">(L10-G10)/L10</f>
        <v>0.0783386390672183</v>
      </c>
      <c r="M50" s="49" t="n">
        <f aca="false">(M10-H10)/M10</f>
        <v>-0.0253234864536833</v>
      </c>
    </row>
    <row r="51" customFormat="false" ht="12.8" hidden="false" customHeight="false" outlineLevel="0" collapsed="false">
      <c r="A51" s="0" t="s">
        <v>80</v>
      </c>
      <c r="F51" s="49"/>
      <c r="G51" s="48" t="n">
        <f aca="false">+G48-AVERAGE(G50,G49)</f>
        <v>1.64074235985844</v>
      </c>
      <c r="H51" s="49" t="n">
        <f aca="false">+H48-AVERAGE(H50,H49)</f>
        <v>-0.0692305956123988</v>
      </c>
      <c r="I51" s="49" t="n">
        <f aca="false">+I48-AVERAGE(I50,I49)</f>
        <v>0.744524432488747</v>
      </c>
      <c r="J51" s="49" t="n">
        <f aca="false">+J48-AVERAGE(J50,J49)</f>
        <v>0.0334580038776378</v>
      </c>
      <c r="K51" s="49" t="n">
        <f aca="false">+K48-AVERAGE(K50,K49)</f>
        <v>0.521598828807167</v>
      </c>
      <c r="L51" s="48" t="n">
        <f aca="false">+L48-(AVERAGE(L50,L49))</f>
        <v>0.416725412753207</v>
      </c>
      <c r="M51" s="49" t="n">
        <f aca="false">+M48-AVERAGE(M50,M49)</f>
        <v>0.307545655470941</v>
      </c>
    </row>
    <row r="52" customFormat="false" ht="12.8" hidden="false" customHeight="false" outlineLevel="0" collapsed="false">
      <c r="A52" s="0" t="s">
        <v>81</v>
      </c>
      <c r="G52" s="48" t="n">
        <f aca="false">G23/B23</f>
        <v>3.03265909388893</v>
      </c>
      <c r="H52" s="49" t="n">
        <f aca="false">H23/C23</f>
        <v>0.934613772748754</v>
      </c>
      <c r="I52" s="49" t="n">
        <f aca="false">I23/D23</f>
        <v>5.89589735709896</v>
      </c>
      <c r="J52" s="49" t="n">
        <f aca="false">J23/E23</f>
        <v>5.63839657936932</v>
      </c>
      <c r="K52" s="49" t="n">
        <f aca="false">K23/F23</f>
        <v>4.48243191745083</v>
      </c>
      <c r="L52" s="48" t="n">
        <f aca="false">L23/G23</f>
        <v>4.23401433001482</v>
      </c>
      <c r="M52" s="49" t="n">
        <f aca="false">M23/H23</f>
        <v>2.34252404213097</v>
      </c>
    </row>
    <row r="53" customFormat="false" ht="12.8" hidden="false" customHeight="false" outlineLevel="0" collapsed="false">
      <c r="A53" s="56" t="s">
        <v>82</v>
      </c>
      <c r="B53" s="57" t="s">
        <v>82</v>
      </c>
      <c r="C53" s="57"/>
      <c r="D53" s="57"/>
    </row>
    <row r="54" customFormat="false" ht="12.8" hidden="false" customHeight="false" outlineLevel="0" collapsed="false">
      <c r="A54" s="51"/>
      <c r="B54" s="58" t="n">
        <v>2019</v>
      </c>
      <c r="C54" s="22" t="n">
        <v>2020</v>
      </c>
      <c r="D54" s="22" t="n">
        <v>2021</v>
      </c>
    </row>
    <row r="55" customFormat="false" ht="12.8" hidden="false" customHeight="false" outlineLevel="0" collapsed="false">
      <c r="A55" s="0" t="s">
        <v>83</v>
      </c>
      <c r="B55" s="59" t="n">
        <f aca="false">B23/Средства!B25</f>
        <v>0.0197635357970714</v>
      </c>
      <c r="C55" s="59" t="n">
        <f aca="false">G23/Средства!C25</f>
        <v>0.0619984258607204</v>
      </c>
      <c r="D55" s="59" t="n">
        <f aca="false">L23/Средства!D25</f>
        <v>0.264856667082171</v>
      </c>
    </row>
    <row r="56" customFormat="false" ht="12.8" hidden="false" customHeight="false" outlineLevel="0" collapsed="false">
      <c r="A56" s="0" t="s">
        <v>84</v>
      </c>
      <c r="B56" s="59" t="n">
        <f aca="false">B23/Средства!G25</f>
        <v>0.0335569342344566</v>
      </c>
      <c r="C56" s="60" t="n">
        <f aca="false">G23/Средства!H25</f>
        <v>0.101089540156245</v>
      </c>
      <c r="D56" s="60" t="n">
        <f aca="false">L23/Средства!I25</f>
        <v>0.334608124725693</v>
      </c>
    </row>
    <row r="57" customFormat="false" ht="12.8" hidden="false" customHeight="false" outlineLevel="0" collapsed="false">
      <c r="A57" s="0" t="s">
        <v>85</v>
      </c>
      <c r="B57" s="59" t="n">
        <f aca="false">Опис!E5/B23</f>
        <v>0.453134975028905</v>
      </c>
      <c r="C57" s="60" t="n">
        <f aca="false">Опис!E5/G23</f>
        <v>0.149418368830842</v>
      </c>
      <c r="D57" s="60" t="n">
        <f aca="false">Опис!E5/L23</f>
        <v>0.0352900007379803</v>
      </c>
    </row>
    <row r="58" customFormat="false" ht="12.8" hidden="false" customHeight="false" outlineLevel="0" collapsed="false">
      <c r="A58" s="0" t="s">
        <v>86</v>
      </c>
      <c r="B58" s="60" t="n">
        <f aca="false">Опис!E5/Средства!G25</f>
        <v>0.0152058205563771</v>
      </c>
      <c r="C58" s="60" t="n">
        <f aca="false">Опис!E5/Средства!H25</f>
        <v>0.015104634196006</v>
      </c>
      <c r="D58" s="60" t="n">
        <f aca="false">Опис!E5/Средства!I25</f>
        <v>0.0118083209685039</v>
      </c>
    </row>
    <row r="60" customFormat="false" ht="12.8" hidden="false" customHeight="false" outlineLevel="0" collapsed="false">
      <c r="A60" s="61" t="s">
        <v>87</v>
      </c>
      <c r="B60" s="62" t="s">
        <v>87</v>
      </c>
      <c r="C60" s="62"/>
      <c r="D60" s="62"/>
    </row>
    <row r="61" customFormat="false" ht="12.8" hidden="false" customHeight="false" outlineLevel="0" collapsed="false">
      <c r="A61" s="0" t="s">
        <v>88</v>
      </c>
      <c r="B61" s="59" t="n">
        <f aca="false">Средства!G19/Средства!G25</f>
        <v>0.697921595559287</v>
      </c>
      <c r="C61" s="59" t="n">
        <f aca="false">Средства!H19/Средства!H25</f>
        <v>0.630537519058758</v>
      </c>
      <c r="D61" s="59" t="n">
        <f aca="false">Средства!I19/Средства!I25</f>
        <v>0.263397423373519</v>
      </c>
    </row>
    <row r="62" customFormat="false" ht="12.8" hidden="false" customHeight="false" outlineLevel="0" collapsed="false">
      <c r="A62" s="0" t="s">
        <v>89</v>
      </c>
      <c r="B62" s="59" t="n">
        <f aca="false">Средства!G19/Средства!B25</f>
        <v>0.411044654467331</v>
      </c>
      <c r="C62" s="59" t="n">
        <f aca="false">Средства!H19/Средства!C25</f>
        <v>0.386709975803091</v>
      </c>
      <c r="D62" s="59" t="n">
        <f aca="false">Средства!I19/Средства!D25</f>
        <v>0.208490345923106</v>
      </c>
    </row>
  </sheetData>
  <mergeCells count="7">
    <mergeCell ref="A3:M3"/>
    <mergeCell ref="A12:M12"/>
    <mergeCell ref="A16:M16"/>
    <mergeCell ref="A20:M20"/>
    <mergeCell ref="A42:M42"/>
    <mergeCell ref="B53:D53"/>
    <mergeCell ref="B60:D60"/>
  </mergeCells>
  <hyperlinks>
    <hyperlink ref="A1" location="Опис" display="Назад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21" activeCellId="0" sqref="D2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24" width="11.54"/>
    <col collapsed="false" customWidth="true" hidden="false" outlineLevel="0" max="3" min="3" style="46" width="11.54"/>
    <col collapsed="false" customWidth="true" hidden="false" outlineLevel="0" max="4" min="4" style="24" width="11.54"/>
    <col collapsed="false" customWidth="true" hidden="false" outlineLevel="0" max="5" min="5" style="24" width="11.52"/>
    <col collapsed="false" customWidth="true" hidden="false" outlineLevel="0" max="6" min="6" style="0" width="29.08"/>
    <col collapsed="false" customWidth="true" hidden="false" outlineLevel="0" max="9" min="7" style="16" width="11.54"/>
  </cols>
  <sheetData>
    <row r="1" customFormat="false" ht="12.8" hidden="false" customHeight="false" outlineLevel="0" collapsed="false">
      <c r="A1" s="2" t="s">
        <v>24</v>
      </c>
      <c r="B1" s="63"/>
      <c r="D1" s="63"/>
      <c r="E1" s="63"/>
      <c r="G1" s="0"/>
      <c r="H1" s="0"/>
      <c r="I1" s="0"/>
    </row>
    <row r="2" customFormat="false" ht="12.8" hidden="false" customHeight="false" outlineLevel="0" collapsed="false">
      <c r="A2" s="0" t="s">
        <v>90</v>
      </c>
      <c r="B2" s="63"/>
      <c r="D2" s="63"/>
      <c r="E2" s="63"/>
      <c r="G2" s="0"/>
      <c r="H2" s="0"/>
      <c r="I2" s="0"/>
    </row>
    <row r="3" customFormat="false" ht="12.8" hidden="false" customHeight="false" outlineLevel="0" collapsed="false">
      <c r="B3" s="64" t="n">
        <v>2019</v>
      </c>
      <c r="C3" s="65" t="n">
        <v>2020</v>
      </c>
      <c r="D3" s="64" t="n">
        <v>2021</v>
      </c>
      <c r="E3" s="66"/>
      <c r="G3" s="64" t="n">
        <v>2019</v>
      </c>
      <c r="H3" s="65" t="n">
        <v>2020</v>
      </c>
      <c r="I3" s="64" t="n">
        <v>2021</v>
      </c>
    </row>
    <row r="4" customFormat="false" ht="12.8" hidden="false" customHeight="false" outlineLevel="0" collapsed="false">
      <c r="A4" s="67" t="s">
        <v>91</v>
      </c>
      <c r="B4" s="67"/>
      <c r="C4" s="67"/>
      <c r="D4" s="67"/>
      <c r="E4" s="68"/>
      <c r="F4" s="69" t="s">
        <v>92</v>
      </c>
      <c r="G4" s="69"/>
      <c r="H4" s="69"/>
      <c r="I4" s="69"/>
    </row>
    <row r="5" customFormat="false" ht="12.8" hidden="false" customHeight="false" outlineLevel="0" collapsed="false">
      <c r="A5" s="0" t="s">
        <v>93</v>
      </c>
      <c r="B5" s="70" t="n">
        <v>280640</v>
      </c>
      <c r="C5" s="71" t="n">
        <v>280283</v>
      </c>
      <c r="D5" s="71" t="n">
        <v>314768</v>
      </c>
      <c r="E5" s="72"/>
      <c r="F5" s="0" t="s">
        <v>94</v>
      </c>
      <c r="G5" s="73" t="n">
        <v>437272</v>
      </c>
      <c r="H5" s="73" t="n">
        <v>375173</v>
      </c>
      <c r="I5" s="73" t="n">
        <v>476255</v>
      </c>
    </row>
    <row r="6" customFormat="false" ht="12.8" hidden="false" customHeight="false" outlineLevel="0" collapsed="false">
      <c r="A6" s="0" t="s">
        <v>95</v>
      </c>
      <c r="B6" s="70"/>
      <c r="C6" s="71"/>
      <c r="D6" s="71"/>
      <c r="E6" s="68"/>
      <c r="F6" s="0" t="s">
        <v>96</v>
      </c>
      <c r="G6" s="73" t="n">
        <v>106459</v>
      </c>
      <c r="H6" s="73" t="n">
        <v>178051</v>
      </c>
      <c r="I6" s="73" t="n">
        <v>293009</v>
      </c>
    </row>
    <row r="7" customFormat="false" ht="12.8" hidden="false" customHeight="false" outlineLevel="0" collapsed="false">
      <c r="A7" s="28" t="s">
        <v>97</v>
      </c>
      <c r="B7" s="24" t="n">
        <v>457954</v>
      </c>
      <c r="C7" s="46" t="n">
        <v>337092</v>
      </c>
      <c r="D7" s="24" t="n">
        <v>403405</v>
      </c>
      <c r="E7" s="68"/>
      <c r="F7" s="74" t="s">
        <v>98</v>
      </c>
      <c r="G7" s="73" t="n">
        <v>2185463</v>
      </c>
      <c r="H7" s="73" t="n">
        <v>1982878</v>
      </c>
      <c r="I7" s="73" t="n">
        <v>95914</v>
      </c>
    </row>
    <row r="8" customFormat="false" ht="12.8" hidden="false" customHeight="false" outlineLevel="0" collapsed="false">
      <c r="A8" s="0" t="s">
        <v>99</v>
      </c>
      <c r="B8" s="24" t="n">
        <v>273574</v>
      </c>
      <c r="C8" s="46" t="n">
        <v>191466</v>
      </c>
      <c r="D8" s="24" t="n">
        <v>522977</v>
      </c>
      <c r="E8" s="68"/>
      <c r="F8" s="0" t="s">
        <v>100</v>
      </c>
      <c r="G8" s="73" t="n">
        <v>0</v>
      </c>
      <c r="H8" s="73" t="n">
        <v>0</v>
      </c>
      <c r="I8" s="73" t="n">
        <v>0</v>
      </c>
      <c r="J8" s="10"/>
    </row>
    <row r="9" customFormat="false" ht="12.8" hidden="false" customHeight="false" outlineLevel="0" collapsed="false">
      <c r="A9" s="0" t="s">
        <v>101</v>
      </c>
      <c r="B9" s="24" t="n">
        <v>0</v>
      </c>
      <c r="C9" s="46" t="n">
        <v>0</v>
      </c>
      <c r="D9" s="24" t="n">
        <v>0</v>
      </c>
      <c r="E9" s="68"/>
      <c r="F9" s="0" t="s">
        <v>102</v>
      </c>
      <c r="G9" s="73" t="n">
        <v>483090</v>
      </c>
      <c r="H9" s="73" t="n">
        <v>410945</v>
      </c>
      <c r="I9" s="73" t="n">
        <v>728943</v>
      </c>
    </row>
    <row r="10" customFormat="false" ht="12.8" hidden="false" customHeight="false" outlineLevel="0" collapsed="false">
      <c r="A10" s="0" t="s">
        <v>103</v>
      </c>
      <c r="B10" s="24" t="n">
        <v>975746</v>
      </c>
      <c r="C10" s="46" t="n">
        <v>848543</v>
      </c>
      <c r="D10" s="24" t="n">
        <v>1049123</v>
      </c>
      <c r="E10" s="68"/>
      <c r="F10" s="0" t="s">
        <v>104</v>
      </c>
      <c r="G10" s="73" t="n">
        <v>125415</v>
      </c>
      <c r="H10" s="73" t="n">
        <v>104119</v>
      </c>
      <c r="I10" s="73" t="n">
        <v>99329</v>
      </c>
    </row>
    <row r="11" customFormat="false" ht="12.8" hidden="false" customHeight="false" outlineLevel="0" collapsed="false">
      <c r="A11" s="0" t="s">
        <v>105</v>
      </c>
      <c r="B11" s="24" t="n">
        <v>212370</v>
      </c>
      <c r="C11" s="46" t="n">
        <v>177926</v>
      </c>
      <c r="D11" s="24" t="n">
        <v>266502</v>
      </c>
      <c r="E11" s="68"/>
      <c r="F11" s="0" t="s">
        <v>92</v>
      </c>
      <c r="G11" s="75" t="n">
        <f aca="false">SUM(G5:G10)</f>
        <v>3337699</v>
      </c>
      <c r="H11" s="75" t="n">
        <f aca="false">SUM(H5:H10)</f>
        <v>3051166</v>
      </c>
      <c r="I11" s="75" t="n">
        <f aca="false">SUM(I5:I10)</f>
        <v>1693450</v>
      </c>
    </row>
    <row r="12" customFormat="false" ht="12.8" hidden="false" customHeight="false" outlineLevel="0" collapsed="false">
      <c r="A12" s="0" t="s">
        <v>91</v>
      </c>
      <c r="B12" s="26" t="n">
        <f aca="false">SUM(B5:B11)</f>
        <v>2200284</v>
      </c>
      <c r="C12" s="26" t="n">
        <f aca="false">SUM(C5:C11)</f>
        <v>1835310</v>
      </c>
      <c r="D12" s="26" t="n">
        <f aca="false">SUM(D5:D11)</f>
        <v>2556775</v>
      </c>
      <c r="E12" s="68"/>
      <c r="F12" s="76" t="s">
        <v>106</v>
      </c>
      <c r="G12" s="76"/>
      <c r="H12" s="76"/>
      <c r="I12" s="76"/>
    </row>
    <row r="13" customFormat="false" ht="12.8" hidden="false" customHeight="false" outlineLevel="0" collapsed="false">
      <c r="A13" s="77" t="s">
        <v>107</v>
      </c>
      <c r="B13" s="77"/>
      <c r="C13" s="77"/>
      <c r="D13" s="77"/>
      <c r="E13" s="78"/>
      <c r="F13" s="0" t="s">
        <v>108</v>
      </c>
      <c r="G13" s="73"/>
      <c r="H13" s="73"/>
      <c r="I13" s="73"/>
    </row>
    <row r="14" customFormat="false" ht="12.8" hidden="false" customHeight="false" outlineLevel="0" collapsed="false">
      <c r="A14" s="0" t="s">
        <v>109</v>
      </c>
      <c r="B14" s="24" t="n">
        <v>3096624</v>
      </c>
      <c r="C14" s="46" t="n">
        <v>3155503</v>
      </c>
      <c r="D14" s="24" t="n">
        <v>3206355</v>
      </c>
      <c r="E14" s="68"/>
      <c r="F14" s="0" t="s">
        <v>110</v>
      </c>
      <c r="G14" s="73" t="n">
        <v>150000</v>
      </c>
      <c r="H14" s="73" t="n">
        <v>120000</v>
      </c>
      <c r="I14" s="73" t="n">
        <v>0</v>
      </c>
    </row>
    <row r="15" customFormat="false" ht="12.8" hidden="false" customHeight="false" outlineLevel="0" collapsed="false">
      <c r="A15" s="28" t="s">
        <v>111</v>
      </c>
      <c r="B15" s="24" t="n">
        <v>699882</v>
      </c>
      <c r="C15" s="46" t="n">
        <v>737758</v>
      </c>
      <c r="D15" s="24" t="n">
        <v>689583</v>
      </c>
      <c r="E15" s="68"/>
      <c r="F15" s="0" t="s">
        <v>112</v>
      </c>
      <c r="G15" s="73"/>
      <c r="H15" s="73"/>
      <c r="I15" s="73"/>
    </row>
    <row r="16" customFormat="false" ht="12.8" hidden="false" customHeight="false" outlineLevel="0" collapsed="false">
      <c r="A16" s="0" t="s">
        <v>113</v>
      </c>
      <c r="B16" s="24" t="n">
        <v>0</v>
      </c>
      <c r="C16" s="46" t="n">
        <v>0</v>
      </c>
      <c r="D16" s="24" t="n">
        <v>0</v>
      </c>
      <c r="E16" s="68"/>
      <c r="F16" s="0" t="s">
        <v>114</v>
      </c>
      <c r="G16" s="73" t="n">
        <v>2103</v>
      </c>
      <c r="H16" s="73" t="n">
        <v>2818</v>
      </c>
      <c r="I16" s="73" t="n">
        <v>2556</v>
      </c>
    </row>
    <row r="17" customFormat="false" ht="12.8" hidden="false" customHeight="false" outlineLevel="0" collapsed="false">
      <c r="A17" s="0" t="s">
        <v>115</v>
      </c>
      <c r="B17" s="24" t="n">
        <v>28503</v>
      </c>
      <c r="C17" s="46" t="n">
        <v>27772</v>
      </c>
      <c r="D17" s="24" t="n">
        <v>27041</v>
      </c>
      <c r="E17" s="68"/>
      <c r="F17" s="0" t="s">
        <v>116</v>
      </c>
      <c r="G17" s="75" t="n">
        <f aca="false">SUM(G13:G16)</f>
        <v>152103</v>
      </c>
      <c r="H17" s="75" t="n">
        <f aca="false">SUM(H13:H16)</f>
        <v>122818</v>
      </c>
      <c r="I17" s="75" t="n">
        <f aca="false">SUM(I13:I16)</f>
        <v>2556</v>
      </c>
    </row>
    <row r="18" customFormat="false" ht="12.8" hidden="false" customHeight="false" outlineLevel="0" collapsed="false">
      <c r="A18" s="0" t="s">
        <v>117</v>
      </c>
      <c r="B18" s="24" t="n">
        <v>2968</v>
      </c>
      <c r="C18" s="46" t="n">
        <v>1626</v>
      </c>
      <c r="D18" s="24" t="n">
        <v>2239</v>
      </c>
      <c r="E18" s="68"/>
      <c r="G18" s="0"/>
      <c r="H18" s="0"/>
      <c r="I18" s="0"/>
    </row>
    <row r="19" customFormat="false" ht="12.8" hidden="false" customHeight="false" outlineLevel="0" collapsed="false">
      <c r="A19" s="0" t="s">
        <v>118</v>
      </c>
      <c r="B19" s="24" t="n">
        <v>7605</v>
      </c>
      <c r="C19" s="46" t="n">
        <v>5805</v>
      </c>
      <c r="D19" s="24" t="n">
        <v>8139</v>
      </c>
      <c r="E19" s="68"/>
      <c r="F19" s="0" t="s">
        <v>119</v>
      </c>
      <c r="G19" s="73" t="n">
        <f aca="false">+G11+G17</f>
        <v>3489802</v>
      </c>
      <c r="H19" s="73" t="n">
        <f aca="false">+H11+H17</f>
        <v>3173984</v>
      </c>
      <c r="I19" s="73" t="n">
        <f aca="false">+I11+I17</f>
        <v>1696006</v>
      </c>
    </row>
    <row r="20" customFormat="false" ht="12.8" hidden="false" customHeight="false" outlineLevel="0" collapsed="false">
      <c r="A20" s="0" t="s">
        <v>120</v>
      </c>
      <c r="B20" s="24" t="n">
        <v>1589268</v>
      </c>
      <c r="C20" s="46" t="n">
        <v>1632234</v>
      </c>
      <c r="D20" s="24" t="n">
        <v>765644</v>
      </c>
      <c r="E20" s="68"/>
      <c r="G20" s="0"/>
      <c r="H20" s="0"/>
      <c r="I20" s="0"/>
    </row>
    <row r="21" customFormat="false" ht="12.8" hidden="false" customHeight="false" outlineLevel="0" collapsed="false">
      <c r="A21" s="0" t="s">
        <v>121</v>
      </c>
      <c r="B21" s="24" t="n">
        <v>614466</v>
      </c>
      <c r="C21" s="46" t="n">
        <v>623129</v>
      </c>
      <c r="D21" s="24" t="n">
        <v>641695</v>
      </c>
      <c r="E21" s="68"/>
      <c r="F21" s="79" t="s">
        <v>122</v>
      </c>
      <c r="G21" s="79"/>
      <c r="H21" s="79"/>
      <c r="I21" s="79"/>
    </row>
    <row r="22" customFormat="false" ht="12.8" hidden="false" customHeight="false" outlineLevel="0" collapsed="false">
      <c r="A22" s="28" t="s">
        <v>123</v>
      </c>
      <c r="B22" s="24" t="n">
        <v>250480</v>
      </c>
      <c r="C22" s="46" t="n">
        <v>188523</v>
      </c>
      <c r="D22" s="24" t="n">
        <v>237227</v>
      </c>
      <c r="E22" s="68"/>
      <c r="F22" s="0" t="s">
        <v>124</v>
      </c>
      <c r="G22" s="73" t="n">
        <v>3355683</v>
      </c>
      <c r="H22" s="73" t="n">
        <v>3369070</v>
      </c>
      <c r="I22" s="73" t="n">
        <v>3652936</v>
      </c>
    </row>
    <row r="23" customFormat="false" ht="12.8" hidden="false" customHeight="false" outlineLevel="0" collapsed="false">
      <c r="A23" s="0" t="s">
        <v>125</v>
      </c>
      <c r="B23" s="26" t="n">
        <f aca="false">SUM(B14:B22)</f>
        <v>6289796</v>
      </c>
      <c r="C23" s="26" t="n">
        <f aca="false">SUM(C14:C22)</f>
        <v>6372350</v>
      </c>
      <c r="D23" s="26" t="n">
        <f aca="false">SUM(D14:D22)</f>
        <v>5577923</v>
      </c>
      <c r="E23" s="68"/>
      <c r="F23" s="0" t="s">
        <v>126</v>
      </c>
      <c r="G23" s="73" t="n">
        <v>517140</v>
      </c>
      <c r="H23" s="73" t="n">
        <v>469327</v>
      </c>
      <c r="I23" s="73" t="n">
        <v>469603</v>
      </c>
    </row>
    <row r="24" customFormat="false" ht="12.8" hidden="false" customHeight="false" outlineLevel="0" collapsed="false">
      <c r="B24" s="63"/>
      <c r="D24" s="63"/>
      <c r="E24" s="68"/>
      <c r="F24" s="0" t="s">
        <v>127</v>
      </c>
      <c r="G24" s="73" t="n">
        <v>1127455</v>
      </c>
      <c r="H24" s="73" t="n">
        <v>1195378</v>
      </c>
      <c r="I24" s="73" t="n">
        <v>2316423</v>
      </c>
    </row>
    <row r="25" customFormat="false" ht="12.8" hidden="false" customHeight="true" outlineLevel="0" collapsed="false">
      <c r="A25" s="0" t="s">
        <v>128</v>
      </c>
      <c r="B25" s="24" t="n">
        <f aca="false">B23+B12</f>
        <v>8490080</v>
      </c>
      <c r="C25" s="24" t="n">
        <f aca="false">C23+C12</f>
        <v>8207660</v>
      </c>
      <c r="D25" s="24" t="n">
        <f aca="false">D23+D12</f>
        <v>8134698</v>
      </c>
      <c r="E25" s="68"/>
      <c r="F25" s="0" t="s">
        <v>129</v>
      </c>
      <c r="G25" s="75" t="n">
        <f aca="false">SUM(G22:G24)</f>
        <v>5000278</v>
      </c>
      <c r="H25" s="75" t="n">
        <f aca="false">SUM(H22:H24)</f>
        <v>5033775</v>
      </c>
      <c r="I25" s="75" t="n">
        <f aca="false">SUM(I22:I24)</f>
        <v>6438962</v>
      </c>
    </row>
    <row r="26" customFormat="false" ht="12.8" hidden="false" customHeight="false" outlineLevel="0" collapsed="false">
      <c r="B26" s="63"/>
      <c r="D26" s="63"/>
      <c r="E26" s="68"/>
      <c r="G26" s="80"/>
      <c r="H26" s="80"/>
      <c r="I26" s="80"/>
    </row>
    <row r="27" customFormat="false" ht="12.8" hidden="false" customHeight="true" outlineLevel="0" collapsed="false">
      <c r="A27" s="0" t="s">
        <v>130</v>
      </c>
      <c r="B27" s="24" t="n">
        <f aca="false">+B5+B6+(B7*0.9)+(B10*0.6)</f>
        <v>1278246.2</v>
      </c>
      <c r="C27" s="24" t="n">
        <f aca="false">+C5+C6+(C7*0.9)+(C10*0.6)</f>
        <v>1092791.6</v>
      </c>
      <c r="D27" s="24" t="n">
        <f aca="false">+D5+D6+(D7*0.9)+(D10*0.6)</f>
        <v>1307306.3</v>
      </c>
      <c r="E27" s="68"/>
      <c r="G27" s="80"/>
      <c r="H27" s="80"/>
      <c r="I27" s="80"/>
    </row>
    <row r="28" customFormat="false" ht="12.8" hidden="false" customHeight="false" outlineLevel="0" collapsed="false">
      <c r="B28" s="63"/>
      <c r="D28" s="63"/>
      <c r="E28" s="63"/>
      <c r="F28" s="0" t="s">
        <v>131</v>
      </c>
      <c r="G28" s="73" t="n">
        <f aca="false">G25+G19</f>
        <v>8490080</v>
      </c>
      <c r="H28" s="73" t="n">
        <f aca="false">H25+H19</f>
        <v>8207759</v>
      </c>
      <c r="I28" s="73" t="n">
        <f aca="false">I25+I19</f>
        <v>8134968</v>
      </c>
    </row>
    <row r="29" customFormat="false" ht="12.8" hidden="false" customHeight="false" outlineLevel="0" collapsed="false">
      <c r="B29" s="63"/>
      <c r="D29" s="63"/>
      <c r="E29" s="63"/>
    </row>
    <row r="30" customFormat="false" ht="12.8" hidden="false" customHeight="false" outlineLevel="0" collapsed="false">
      <c r="B30" s="63"/>
      <c r="D30" s="63"/>
      <c r="E30" s="63"/>
    </row>
    <row r="31" customFormat="false" ht="12.8" hidden="false" customHeight="false" outlineLevel="0" collapsed="false">
      <c r="B31" s="63"/>
      <c r="D31" s="63"/>
      <c r="E31" s="63"/>
    </row>
    <row r="32" customFormat="false" ht="12.8" hidden="false" customHeight="false" outlineLevel="0" collapsed="false">
      <c r="B32" s="63"/>
      <c r="D32" s="63"/>
      <c r="E32" s="63"/>
    </row>
    <row r="33" customFormat="false" ht="12.8" hidden="false" customHeight="false" outlineLevel="0" collapsed="false">
      <c r="B33" s="63"/>
      <c r="D33" s="63"/>
      <c r="E33" s="63"/>
    </row>
    <row r="34" customFormat="false" ht="12.8" hidden="false" customHeight="false" outlineLevel="0" collapsed="false">
      <c r="B34" s="63"/>
      <c r="D34" s="63"/>
      <c r="E34" s="63"/>
    </row>
    <row r="35" customFormat="false" ht="12.8" hidden="false" customHeight="false" outlineLevel="0" collapsed="false">
      <c r="B35" s="63"/>
      <c r="D35" s="63"/>
      <c r="E35" s="63"/>
    </row>
    <row r="36" customFormat="false" ht="12.8" hidden="false" customHeight="false" outlineLevel="0" collapsed="false">
      <c r="B36" s="63"/>
      <c r="D36" s="63"/>
      <c r="E36" s="63"/>
    </row>
    <row r="37" customFormat="false" ht="12.8" hidden="false" customHeight="false" outlineLevel="0" collapsed="false">
      <c r="B37" s="63"/>
      <c r="D37" s="63"/>
      <c r="E37" s="63"/>
    </row>
    <row r="38" customFormat="false" ht="12.8" hidden="false" customHeight="false" outlineLevel="0" collapsed="false">
      <c r="B38" s="63"/>
      <c r="D38" s="63"/>
      <c r="E38" s="63"/>
    </row>
    <row r="39" customFormat="false" ht="12.8" hidden="false" customHeight="false" outlineLevel="0" collapsed="false">
      <c r="B39" s="63"/>
      <c r="D39" s="63"/>
      <c r="E39" s="63"/>
    </row>
    <row r="40" customFormat="false" ht="12.8" hidden="false" customHeight="false" outlineLevel="0" collapsed="false">
      <c r="B40" s="63"/>
      <c r="D40" s="63"/>
      <c r="E40" s="63"/>
    </row>
    <row r="41" customFormat="false" ht="12.8" hidden="false" customHeight="false" outlineLevel="0" collapsed="false">
      <c r="B41" s="63"/>
      <c r="D41" s="63"/>
      <c r="E41" s="63"/>
    </row>
    <row r="42" customFormat="false" ht="12.8" hidden="false" customHeight="false" outlineLevel="0" collapsed="false">
      <c r="B42" s="63"/>
      <c r="D42" s="63"/>
      <c r="E42" s="63"/>
    </row>
    <row r="43" customFormat="false" ht="12.8" hidden="false" customHeight="false" outlineLevel="0" collapsed="false">
      <c r="B43" s="63"/>
      <c r="D43" s="63"/>
      <c r="E43" s="63"/>
    </row>
    <row r="44" customFormat="false" ht="12.8" hidden="false" customHeight="false" outlineLevel="0" collapsed="false">
      <c r="B44" s="63"/>
      <c r="D44" s="63"/>
      <c r="E44" s="63"/>
    </row>
    <row r="45" customFormat="false" ht="12.8" hidden="false" customHeight="false" outlineLevel="0" collapsed="false">
      <c r="B45" s="63"/>
      <c r="D45" s="63"/>
      <c r="E45" s="63"/>
    </row>
    <row r="46" customFormat="false" ht="12.8" hidden="false" customHeight="false" outlineLevel="0" collapsed="false">
      <c r="B46" s="63"/>
      <c r="D46" s="63"/>
      <c r="E46" s="63"/>
    </row>
    <row r="47" customFormat="false" ht="12.8" hidden="false" customHeight="false" outlineLevel="0" collapsed="false">
      <c r="B47" s="63"/>
      <c r="D47" s="63"/>
      <c r="E47" s="63"/>
    </row>
    <row r="48" customFormat="false" ht="12.8" hidden="false" customHeight="false" outlineLevel="0" collapsed="false">
      <c r="B48" s="63"/>
      <c r="D48" s="63"/>
      <c r="E48" s="63"/>
    </row>
    <row r="49" customFormat="false" ht="12.8" hidden="false" customHeight="false" outlineLevel="0" collapsed="false">
      <c r="B49" s="63"/>
      <c r="D49" s="63"/>
      <c r="E49" s="63"/>
    </row>
    <row r="50" customFormat="false" ht="12.8" hidden="false" customHeight="false" outlineLevel="0" collapsed="false">
      <c r="B50" s="63"/>
      <c r="D50" s="63"/>
      <c r="E50" s="63"/>
    </row>
    <row r="51" customFormat="false" ht="12.8" hidden="false" customHeight="false" outlineLevel="0" collapsed="false">
      <c r="B51" s="63"/>
      <c r="D51" s="63"/>
      <c r="E51" s="63"/>
    </row>
    <row r="52" customFormat="false" ht="12.8" hidden="false" customHeight="false" outlineLevel="0" collapsed="false">
      <c r="B52" s="63"/>
      <c r="D52" s="63"/>
      <c r="E52" s="63"/>
    </row>
    <row r="61" customFormat="false" ht="12.8" hidden="false" customHeight="false" outlineLevel="0" collapsed="false">
      <c r="B61" s="24" t="s">
        <v>132</v>
      </c>
    </row>
  </sheetData>
  <mergeCells count="8">
    <mergeCell ref="A4:D4"/>
    <mergeCell ref="F4:I4"/>
    <mergeCell ref="B5:B6"/>
    <mergeCell ref="C5:C6"/>
    <mergeCell ref="D5:D6"/>
    <mergeCell ref="F12:I12"/>
    <mergeCell ref="A13:D13"/>
    <mergeCell ref="F21:I21"/>
  </mergeCells>
  <hyperlinks>
    <hyperlink ref="A1" location="Опис" display="Назад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4" min="2" style="46" width="11.54"/>
    <col collapsed="false" customWidth="true" hidden="false" outlineLevel="0" max="5" min="5" style="44" width="9.63"/>
    <col collapsed="false" customWidth="true" hidden="false" outlineLevel="0" max="6" min="6" style="46" width="11.52"/>
    <col collapsed="false" customWidth="true" hidden="false" outlineLevel="0" max="7" min="7" style="49" width="10.19"/>
    <col collapsed="false" customWidth="true" hidden="false" outlineLevel="0" max="8" min="8" style="0" width="9.17"/>
    <col collapsed="false" customWidth="true" hidden="false" outlineLevel="0" max="9" min="9" style="0" width="20.01"/>
    <col collapsed="false" customWidth="true" hidden="false" outlineLevel="0" max="10" min="10" style="0" width="15.68"/>
    <col collapsed="false" customWidth="true" hidden="false" outlineLevel="0" max="11" min="11" style="0" width="3.74"/>
    <col collapsed="false" customWidth="true" hidden="false" outlineLevel="0" max="14" min="12" style="1" width="11.52"/>
  </cols>
  <sheetData>
    <row r="1" customFormat="false" ht="12.8" hidden="false" customHeight="false" outlineLevel="0" collapsed="false">
      <c r="A1" s="2" t="s">
        <v>24</v>
      </c>
    </row>
    <row r="2" customFormat="false" ht="12.8" hidden="false" customHeight="false" outlineLevel="0" collapsed="false">
      <c r="A2" s="0" t="s">
        <v>133</v>
      </c>
      <c r="B2" s="46" t="s">
        <v>134</v>
      </c>
      <c r="C2" s="81" t="n">
        <v>2021</v>
      </c>
      <c r="D2" s="82" t="n">
        <v>2020</v>
      </c>
      <c r="E2" s="49" t="s">
        <v>135</v>
      </c>
      <c r="F2" s="47" t="n">
        <v>2019</v>
      </c>
      <c r="G2" s="49" t="s">
        <v>135</v>
      </c>
    </row>
    <row r="3" customFormat="false" ht="12.8" hidden="false" customHeight="false" outlineLevel="0" collapsed="false">
      <c r="A3" s="83" t="s">
        <v>34</v>
      </c>
      <c r="B3" s="83"/>
      <c r="C3" s="83"/>
      <c r="D3" s="83"/>
      <c r="E3" s="83"/>
      <c r="F3" s="83"/>
      <c r="G3" s="83"/>
      <c r="I3" s="84" t="s">
        <v>136</v>
      </c>
      <c r="J3" s="84"/>
      <c r="K3" s="84"/>
      <c r="L3" s="18" t="s">
        <v>137</v>
      </c>
      <c r="M3" s="18" t="s">
        <v>138</v>
      </c>
      <c r="N3" s="85" t="s">
        <v>139</v>
      </c>
    </row>
    <row r="4" customFormat="false" ht="12.8" hidden="false" customHeight="false" outlineLevel="0" collapsed="false">
      <c r="A4" s="0" t="s">
        <v>140</v>
      </c>
      <c r="B4" s="46" t="str">
        <f aca="false">IF(C4&gt;0,"+","-")</f>
        <v>+</v>
      </c>
      <c r="C4" s="86" t="n">
        <v>1409844</v>
      </c>
      <c r="D4" s="24" t="n">
        <v>348709</v>
      </c>
      <c r="E4" s="44" t="n">
        <f aca="false">(+C4/D4)-1</f>
        <v>3.04303875150914</v>
      </c>
      <c r="F4" s="24" t="n">
        <v>875778</v>
      </c>
      <c r="G4" s="44" t="n">
        <f aca="false">(+D4/F4)-1</f>
        <v>-0.601829459063827</v>
      </c>
      <c r="I4" s="87"/>
      <c r="J4" s="87"/>
      <c r="K4" s="87"/>
      <c r="L4" s="38"/>
      <c r="M4" s="38"/>
      <c r="N4" s="88"/>
    </row>
    <row r="5" customFormat="false" ht="12.8" hidden="false" customHeight="false" outlineLevel="0" collapsed="false">
      <c r="A5" s="89"/>
      <c r="B5" s="90"/>
      <c r="C5" s="90"/>
      <c r="D5" s="90"/>
      <c r="E5" s="91"/>
      <c r="F5" s="90"/>
      <c r="G5" s="91"/>
      <c r="I5" s="87"/>
      <c r="J5" s="87"/>
      <c r="K5" s="87"/>
      <c r="L5" s="38"/>
      <c r="M5" s="38"/>
      <c r="N5" s="88"/>
    </row>
    <row r="6" customFormat="false" ht="12.8" hidden="false" customHeight="false" outlineLevel="0" collapsed="false">
      <c r="A6" s="0" t="s">
        <v>141</v>
      </c>
      <c r="B6" s="46" t="str">
        <f aca="false">IF(C6&gt;0,"+","-")</f>
        <v>+</v>
      </c>
      <c r="C6" s="24" t="n">
        <v>260402</v>
      </c>
      <c r="D6" s="24" t="n">
        <v>257703</v>
      </c>
      <c r="E6" s="44" t="n">
        <f aca="false">(+C6/D6)-1</f>
        <v>0.0104732967796262</v>
      </c>
      <c r="F6" s="24" t="n">
        <v>255296</v>
      </c>
      <c r="G6" s="44" t="n">
        <f aca="false">(+D6/F6)-1</f>
        <v>0.00942827149661563</v>
      </c>
      <c r="I6" s="87"/>
      <c r="J6" s="87"/>
      <c r="K6" s="87"/>
      <c r="L6" s="38"/>
      <c r="M6" s="38"/>
      <c r="N6" s="88"/>
    </row>
    <row r="7" customFormat="false" ht="12.8" hidden="false" customHeight="false" outlineLevel="0" collapsed="false">
      <c r="A7" s="0" t="s">
        <v>142</v>
      </c>
      <c r="B7" s="46" t="str">
        <f aca="false">IF(C7&gt;0,"+","-")</f>
        <v>-</v>
      </c>
      <c r="C7" s="24" t="n">
        <v>-200580</v>
      </c>
      <c r="D7" s="24" t="n">
        <v>127204</v>
      </c>
      <c r="E7" s="44" t="n">
        <f aca="false">(+C7/D7)-1</f>
        <v>-2.57683720637716</v>
      </c>
      <c r="F7" s="24" t="n">
        <v>-197144</v>
      </c>
      <c r="G7" s="44" t="n">
        <f aca="false">(+D7/F7)-1</f>
        <v>-1.64523394067281</v>
      </c>
      <c r="I7" s="87"/>
      <c r="J7" s="87"/>
      <c r="K7" s="87"/>
      <c r="L7" s="38"/>
      <c r="M7" s="38"/>
      <c r="N7" s="88"/>
    </row>
    <row r="8" customFormat="false" ht="12.8" hidden="false" customHeight="false" outlineLevel="0" collapsed="false">
      <c r="A8" s="0" t="s">
        <v>143</v>
      </c>
      <c r="B8" s="46" t="str">
        <f aca="false">IF(C8&gt;0,"+","-")</f>
        <v>-</v>
      </c>
      <c r="C8" s="24" t="n">
        <v>-86913</v>
      </c>
      <c r="D8" s="24" t="n">
        <v>120862</v>
      </c>
      <c r="E8" s="44" t="n">
        <f aca="false">(+C8/D8)-1</f>
        <v>-1.71910939749466</v>
      </c>
      <c r="F8" s="24" t="n">
        <v>55423</v>
      </c>
      <c r="G8" s="44" t="n">
        <f aca="false">(+D8/F8)-1</f>
        <v>1.18071919600166</v>
      </c>
      <c r="I8" s="87"/>
      <c r="J8" s="87"/>
      <c r="K8" s="87"/>
      <c r="L8" s="38"/>
      <c r="M8" s="38"/>
      <c r="N8" s="88"/>
    </row>
    <row r="9" customFormat="false" ht="12.8" hidden="false" customHeight="false" outlineLevel="0" collapsed="false">
      <c r="A9" s="0" t="s">
        <v>144</v>
      </c>
      <c r="B9" s="46" t="str">
        <f aca="false">IF(C9&gt;0,"+","-")</f>
        <v>-</v>
      </c>
      <c r="C9" s="24" t="n">
        <v>-384717</v>
      </c>
      <c r="D9" s="24" t="n">
        <v>131014</v>
      </c>
      <c r="E9" s="44" t="n">
        <f aca="false">(+C9/D9)-1</f>
        <v>-3.93645717251591</v>
      </c>
      <c r="F9" s="24" t="n">
        <v>-111557</v>
      </c>
      <c r="G9" s="44" t="n">
        <f aca="false">(+D9/F9)-1</f>
        <v>-2.17441308030872</v>
      </c>
    </row>
    <row r="10" customFormat="false" ht="12.8" hidden="false" customHeight="false" outlineLevel="0" collapsed="false">
      <c r="A10" s="92" t="s">
        <v>145</v>
      </c>
      <c r="B10" s="46" t="str">
        <f aca="false">IF(C10&gt;0,"+","-")</f>
        <v>-</v>
      </c>
      <c r="C10" s="24" t="n">
        <v>0</v>
      </c>
      <c r="D10" s="24" t="n">
        <v>0</v>
      </c>
      <c r="E10" s="44" t="e">
        <f aca="false">(+C10/D10)-1</f>
        <v>#DIV/0!</v>
      </c>
      <c r="F10" s="24" t="n">
        <v>0</v>
      </c>
      <c r="G10" s="44" t="e">
        <f aca="false">(+D10/F10)-1</f>
        <v>#DIV/0!</v>
      </c>
    </row>
    <row r="11" customFormat="false" ht="12.8" hidden="false" customHeight="false" outlineLevel="0" collapsed="false">
      <c r="A11" s="0" t="s">
        <v>146</v>
      </c>
      <c r="B11" s="46" t="str">
        <f aca="false">IF(C11&gt;0,"+","-")</f>
        <v>+</v>
      </c>
      <c r="C11" s="24" t="n">
        <v>73553</v>
      </c>
      <c r="D11" s="93" t="n">
        <v>-48677</v>
      </c>
      <c r="E11" s="44" t="n">
        <f aca="false">(+C11/D11)-1</f>
        <v>-2.51104217597633</v>
      </c>
      <c r="F11" s="24" t="n">
        <v>-52503</v>
      </c>
      <c r="G11" s="44" t="n">
        <f aca="false">(+D11/F11)-1</f>
        <v>-0.0728720263603985</v>
      </c>
      <c r="I11" s="0" t="s">
        <v>147</v>
      </c>
    </row>
    <row r="12" customFormat="false" ht="12.8" hidden="false" customHeight="false" outlineLevel="0" collapsed="false">
      <c r="A12" s="0" t="s">
        <v>105</v>
      </c>
      <c r="B12" s="46" t="str">
        <f aca="false">IF(C12&gt;0,"+","-")</f>
        <v>-</v>
      </c>
      <c r="C12" s="24" t="n">
        <v>-88575</v>
      </c>
      <c r="D12" s="24" t="n">
        <v>34442</v>
      </c>
      <c r="E12" s="44" t="n">
        <f aca="false">(+C12/D12)-1</f>
        <v>-3.57171476685442</v>
      </c>
      <c r="F12" s="24" t="n">
        <v>-21669</v>
      </c>
      <c r="G12" s="44" t="n">
        <f aca="false">(+D12/F12)-1</f>
        <v>-2.58945959665882</v>
      </c>
      <c r="I12" s="0" t="s">
        <v>89</v>
      </c>
    </row>
    <row r="13" customFormat="false" ht="12.8" hidden="false" customHeight="false" outlineLevel="0" collapsed="false">
      <c r="A13" s="52"/>
      <c r="B13" s="94"/>
      <c r="C13" s="94"/>
      <c r="D13" s="94"/>
      <c r="E13" s="95"/>
      <c r="F13" s="94"/>
      <c r="G13" s="96"/>
      <c r="I13" s="0" t="s">
        <v>148</v>
      </c>
    </row>
    <row r="14" customFormat="false" ht="12.8" hidden="false" customHeight="false" outlineLevel="0" collapsed="false">
      <c r="A14" s="0" t="s">
        <v>149</v>
      </c>
      <c r="B14" s="46" t="str">
        <f aca="false">IF(C14&gt;0,"+","-")</f>
        <v>+</v>
      </c>
      <c r="C14" s="24" t="n">
        <v>135726</v>
      </c>
      <c r="D14" s="24" t="n">
        <v>-62099</v>
      </c>
      <c r="E14" s="44" t="n">
        <f aca="false">(+C14/D14)-1</f>
        <v>-3.18563906021031</v>
      </c>
      <c r="F14" s="24" t="n">
        <v>3154</v>
      </c>
      <c r="G14" s="44" t="n">
        <f aca="false">(+D14/F14)-1</f>
        <v>-20.6889663918833</v>
      </c>
    </row>
    <row r="15" customFormat="false" ht="12.8" hidden="false" customHeight="false" outlineLevel="0" collapsed="false">
      <c r="A15" s="0" t="s">
        <v>150</v>
      </c>
      <c r="B15" s="46" t="str">
        <f aca="false">IF(C15&gt;0,"+","-")</f>
        <v>+</v>
      </c>
      <c r="C15" s="24" t="n">
        <v>329543</v>
      </c>
      <c r="D15" s="24" t="n">
        <v>-18943</v>
      </c>
      <c r="E15" s="44" t="n">
        <f aca="false">(+C15/D15)-1</f>
        <v>-18.3965580953386</v>
      </c>
      <c r="F15" s="24" t="n">
        <v>14892</v>
      </c>
      <c r="G15" s="44" t="n">
        <f aca="false">(+D15/F15)-1</f>
        <v>-2.27202524845555</v>
      </c>
      <c r="I15" s="0" t="s">
        <v>151</v>
      </c>
    </row>
    <row r="16" customFormat="false" ht="12.8" hidden="false" customHeight="false" outlineLevel="0" collapsed="false">
      <c r="A16" s="0" t="s">
        <v>152</v>
      </c>
      <c r="B16" s="46" t="str">
        <f aca="false">IF(C16&gt;0,"+","-")</f>
        <v>+</v>
      </c>
      <c r="C16" s="24" t="n">
        <v>68485</v>
      </c>
      <c r="D16" s="24" t="n">
        <v>20048</v>
      </c>
      <c r="E16" s="44" t="n">
        <f aca="false">(+C16/D16)-1</f>
        <v>2.4160514764565</v>
      </c>
      <c r="F16" s="24" t="n">
        <v>22868</v>
      </c>
      <c r="G16" s="44" t="n">
        <f aca="false">(+D16/F16)-1</f>
        <v>-0.123316424698268</v>
      </c>
    </row>
    <row r="17" customFormat="false" ht="12.8" hidden="false" customHeight="false" outlineLevel="0" collapsed="false">
      <c r="A17" s="0" t="s">
        <v>104</v>
      </c>
      <c r="B17" s="46" t="str">
        <f aca="false">IF(C17&gt;0,"+","-")</f>
        <v>-</v>
      </c>
      <c r="C17" s="24" t="n">
        <v>-4790</v>
      </c>
      <c r="D17" s="24" t="n">
        <v>-21295</v>
      </c>
      <c r="E17" s="44" t="n">
        <f aca="false">(+C17/D17)-1</f>
        <v>-0.775064569147687</v>
      </c>
      <c r="F17" s="24" t="n">
        <v>-20139</v>
      </c>
      <c r="G17" s="44" t="n">
        <f aca="false">(+D17/F17)-1</f>
        <v>0.0574010626148269</v>
      </c>
      <c r="L17" s="0"/>
      <c r="M17" s="0"/>
      <c r="N17" s="0"/>
    </row>
    <row r="18" customFormat="false" ht="12.8" hidden="false" customHeight="false" outlineLevel="0" collapsed="false">
      <c r="A18" s="0" t="s">
        <v>153</v>
      </c>
      <c r="B18" s="46" t="str">
        <f aca="false">IF(C18&gt;0,"+","-")</f>
        <v>+</v>
      </c>
      <c r="C18" s="24" t="n">
        <v>26593</v>
      </c>
      <c r="D18" s="24" t="n">
        <v>51342</v>
      </c>
      <c r="E18" s="44" t="n">
        <f aca="false">(+C18/D18)-1</f>
        <v>-0.482041992910288</v>
      </c>
      <c r="F18" s="24" t="n">
        <v>59622</v>
      </c>
      <c r="G18" s="44" t="n">
        <f aca="false">(+D18/F18)-1</f>
        <v>-0.138874911945255</v>
      </c>
      <c r="L18" s="0"/>
      <c r="M18" s="0"/>
      <c r="N18" s="0"/>
    </row>
    <row r="19" customFormat="false" ht="12.8" hidden="false" customHeight="false" outlineLevel="0" collapsed="false">
      <c r="A19" s="97"/>
      <c r="B19" s="98"/>
      <c r="C19" s="98"/>
      <c r="D19" s="98"/>
      <c r="E19" s="99"/>
      <c r="F19" s="98"/>
      <c r="G19" s="100"/>
    </row>
    <row r="20" customFormat="false" ht="12.8" hidden="false" customHeight="false" outlineLevel="0" collapsed="false">
      <c r="A20" s="0" t="s">
        <v>154</v>
      </c>
      <c r="B20" s="46" t="str">
        <f aca="false">IF(C20&gt;0,"+","-")</f>
        <v>-</v>
      </c>
      <c r="C20" s="24" t="n">
        <v>-120332</v>
      </c>
      <c r="D20" s="24" t="n">
        <v>-84532</v>
      </c>
      <c r="E20" s="44" t="n">
        <f aca="false">(+C20/D20)-1</f>
        <v>0.423508257228032</v>
      </c>
      <c r="F20" s="24" t="n">
        <v>-103336</v>
      </c>
      <c r="G20" s="44" t="n">
        <f aca="false">(+D20/F20)-1</f>
        <v>-0.181969497561353</v>
      </c>
    </row>
    <row r="21" customFormat="false" ht="12.8" hidden="false" customHeight="false" outlineLevel="0" collapsed="false">
      <c r="A21" s="0" t="s">
        <v>155</v>
      </c>
      <c r="B21" s="46" t="str">
        <f aca="false">IF(C21&gt;0,"+","-")</f>
        <v>-</v>
      </c>
      <c r="C21" s="24" t="n">
        <v>0</v>
      </c>
      <c r="D21" s="24" t="n">
        <v>0</v>
      </c>
      <c r="E21" s="44" t="e">
        <f aca="false">(+C21/D21)-1</f>
        <v>#DIV/0!</v>
      </c>
      <c r="F21" s="24" t="n">
        <v>0</v>
      </c>
      <c r="G21" s="44" t="e">
        <f aca="false">(+D21/F21)-1</f>
        <v>#DIV/0!</v>
      </c>
    </row>
    <row r="22" customFormat="false" ht="12.8" hidden="false" customHeight="false" outlineLevel="0" collapsed="false">
      <c r="A22" s="0" t="s">
        <v>156</v>
      </c>
      <c r="B22" s="46" t="str">
        <f aca="false">IF(C22&gt;0,"+","-")</f>
        <v>-</v>
      </c>
      <c r="C22" s="24" t="n">
        <v>-1551</v>
      </c>
      <c r="D22" s="24" t="n">
        <v>1766</v>
      </c>
      <c r="E22" s="44" t="n">
        <f aca="false">(+C22/D22)-1</f>
        <v>-1.87825594563986</v>
      </c>
      <c r="F22" s="24" t="n">
        <v>-155794</v>
      </c>
      <c r="G22" s="44" t="n">
        <f aca="false">(+D22/F22)-1</f>
        <v>-1.01133548146912</v>
      </c>
    </row>
    <row r="23" customFormat="false" ht="12.8" hidden="false" customHeight="false" outlineLevel="0" collapsed="false">
      <c r="A23" s="0" t="s">
        <v>157</v>
      </c>
      <c r="B23" s="46" t="str">
        <f aca="false">IF(C23&gt;0,"+","-")</f>
        <v>-</v>
      </c>
      <c r="C23" s="24" t="n">
        <v>-864926</v>
      </c>
      <c r="D23" s="24" t="n">
        <v>0</v>
      </c>
      <c r="E23" s="44" t="e">
        <f aca="false">(+C23/D23)-1</f>
        <v>#DIV/0!</v>
      </c>
      <c r="F23" s="24" t="n">
        <v>0</v>
      </c>
      <c r="G23" s="44" t="e">
        <f aca="false">(+D23/F23)-1</f>
        <v>#DIV/0!</v>
      </c>
    </row>
    <row r="24" customFormat="false" ht="12.8" hidden="false" customHeight="false" outlineLevel="0" collapsed="false">
      <c r="A24" s="0" t="s">
        <v>158</v>
      </c>
      <c r="B24" s="46" t="str">
        <f aca="false">IF(C24&gt;0,"+","-")</f>
        <v>-</v>
      </c>
      <c r="C24" s="24" t="n">
        <v>0</v>
      </c>
      <c r="D24" s="24" t="n">
        <v>0</v>
      </c>
      <c r="E24" s="44" t="e">
        <f aca="false">(+C24/D24)-1</f>
        <v>#DIV/0!</v>
      </c>
      <c r="F24" s="24" t="n">
        <v>0</v>
      </c>
      <c r="G24" s="44" t="e">
        <f aca="false">(+D24/F24)-1</f>
        <v>#DIV/0!</v>
      </c>
    </row>
    <row r="25" customFormat="false" ht="12.8" hidden="false" customHeight="false" outlineLevel="0" collapsed="false">
      <c r="A25" s="101" t="s">
        <v>159</v>
      </c>
      <c r="B25" s="102" t="n">
        <f aca="false">SUM(C4:C24)</f>
        <v>551762</v>
      </c>
      <c r="C25" s="102"/>
      <c r="D25" s="26" t="n">
        <f aca="false">SUM(D4:D24)</f>
        <v>857544</v>
      </c>
      <c r="E25" s="103" t="n">
        <f aca="false">(+B25/D25)-1</f>
        <v>-0.356578787793979</v>
      </c>
      <c r="F25" s="26" t="n">
        <f aca="false">SUM(F4:F24)</f>
        <v>624891</v>
      </c>
      <c r="G25" s="103" t="n">
        <f aca="false">(+D25/F25)-1</f>
        <v>0.372309730817054</v>
      </c>
    </row>
    <row r="26" customFormat="false" ht="12.8" hidden="false" customHeight="false" outlineLevel="0" collapsed="false">
      <c r="A26" s="30" t="s">
        <v>160</v>
      </c>
      <c r="B26" s="30"/>
      <c r="C26" s="30"/>
      <c r="D26" s="30"/>
      <c r="E26" s="30"/>
      <c r="F26" s="30"/>
      <c r="G26" s="30"/>
    </row>
    <row r="27" customFormat="false" ht="12.8" hidden="false" customHeight="false" outlineLevel="0" collapsed="false">
      <c r="A27" s="0" t="s">
        <v>161</v>
      </c>
      <c r="B27" s="46" t="str">
        <f aca="false">IF(C27&gt;0,"+","-")</f>
        <v>-</v>
      </c>
      <c r="C27" s="24" t="n">
        <v>-315375</v>
      </c>
      <c r="D27" s="24" t="n">
        <v>-290700</v>
      </c>
      <c r="E27" s="44" t="n">
        <f aca="false">(+C27/D27)-1</f>
        <v>0.0848813209494323</v>
      </c>
      <c r="F27" s="24" t="n">
        <v>-207133</v>
      </c>
      <c r="G27" s="44" t="n">
        <f aca="false">(+D27/F27)-1</f>
        <v>0.403446095021073</v>
      </c>
    </row>
    <row r="28" customFormat="false" ht="12.8" hidden="false" customHeight="false" outlineLevel="0" collapsed="false">
      <c r="A28" s="0" t="s">
        <v>162</v>
      </c>
      <c r="B28" s="46" t="str">
        <f aca="false">IF(C28&gt;0,"+","-")</f>
        <v>+</v>
      </c>
      <c r="C28" s="24" t="n">
        <v>1551</v>
      </c>
      <c r="D28" s="24" t="n">
        <v>-1766</v>
      </c>
      <c r="E28" s="44" t="n">
        <f aca="false">(+C28/D28)-1</f>
        <v>-1.87825594563986</v>
      </c>
      <c r="F28" s="24" t="n">
        <v>155794</v>
      </c>
      <c r="G28" s="44" t="n">
        <f aca="false">(+D28/F28)-1</f>
        <v>-1.01133548146912</v>
      </c>
    </row>
    <row r="29" customFormat="false" ht="12.8" hidden="false" customHeight="false" outlineLevel="0" collapsed="false">
      <c r="A29" s="0" t="s">
        <v>163</v>
      </c>
      <c r="B29" s="46" t="str">
        <f aca="false">IF(C29&gt;0,"+","-")</f>
        <v>+</v>
      </c>
      <c r="C29" s="24" t="n">
        <v>1996546</v>
      </c>
      <c r="D29" s="24" t="n">
        <v>0</v>
      </c>
      <c r="E29" s="44" t="e">
        <f aca="false">(+C29/D29)-1</f>
        <v>#DIV/0!</v>
      </c>
      <c r="F29" s="22" t="n">
        <v>0</v>
      </c>
      <c r="G29" s="44" t="e">
        <f aca="false">(+D29/F29)-1</f>
        <v>#DIV/0!</v>
      </c>
    </row>
    <row r="30" customFormat="false" ht="12.8" hidden="false" customHeight="false" outlineLevel="0" collapsed="false">
      <c r="A30" s="0" t="s">
        <v>164</v>
      </c>
      <c r="B30" s="46" t="str">
        <f aca="false">IF(C30&gt;0,"+","-")</f>
        <v>-</v>
      </c>
      <c r="C30" s="24" t="n">
        <v>0</v>
      </c>
      <c r="D30" s="24" t="n">
        <v>-7932</v>
      </c>
      <c r="E30" s="44" t="n">
        <f aca="false">(+C30/D30)-1</f>
        <v>-1</v>
      </c>
      <c r="F30" s="24" t="n">
        <v>-9672</v>
      </c>
      <c r="G30" s="44" t="n">
        <f aca="false">(+D30/F30)-1</f>
        <v>-0.179900744416873</v>
      </c>
    </row>
    <row r="31" customFormat="false" ht="12.8" hidden="false" customHeight="false" outlineLevel="0" collapsed="false">
      <c r="A31" s="0" t="s">
        <v>158</v>
      </c>
      <c r="B31" s="46" t="str">
        <f aca="false">IF(C31&gt;0,"+","-")</f>
        <v>-</v>
      </c>
      <c r="C31" s="24" t="n">
        <f aca="false">1888-2501</f>
        <v>-613</v>
      </c>
      <c r="D31" s="24" t="n">
        <f aca="false">7835-6494</f>
        <v>1341</v>
      </c>
      <c r="E31" s="44" t="n">
        <f aca="false">(+C31/D31)-1</f>
        <v>-1.45712155108128</v>
      </c>
      <c r="F31" s="24" t="n">
        <f aca="false">5133-1779</f>
        <v>3354</v>
      </c>
      <c r="G31" s="44" t="n">
        <f aca="false">(+D31/F31)-1</f>
        <v>-0.600178890876565</v>
      </c>
      <c r="L31" s="0"/>
      <c r="M31" s="0"/>
      <c r="N31" s="0"/>
    </row>
    <row r="32" customFormat="false" ht="12.8" hidden="false" customHeight="false" outlineLevel="0" collapsed="false">
      <c r="A32" s="0" t="s">
        <v>165</v>
      </c>
      <c r="B32" s="46" t="str">
        <f aca="false">IF(C32&gt;0,"+","-")</f>
        <v>-</v>
      </c>
      <c r="C32" s="24" t="n">
        <v>-26593</v>
      </c>
      <c r="D32" s="24" t="n">
        <v>-53658</v>
      </c>
      <c r="E32" s="44" t="n">
        <f aca="false">(+C32/D32)-1</f>
        <v>-0.50439822580044</v>
      </c>
      <c r="F32" s="24" t="n">
        <v>-26577</v>
      </c>
      <c r="G32" s="44" t="n">
        <f aca="false">(+D32/F32)-1</f>
        <v>1.01896376566204</v>
      </c>
      <c r="L32" s="0"/>
      <c r="M32" s="0"/>
      <c r="N32" s="0"/>
    </row>
    <row r="33" customFormat="false" ht="12.8" hidden="false" customHeight="false" outlineLevel="0" collapsed="false">
      <c r="A33" s="0" t="s">
        <v>166</v>
      </c>
      <c r="B33" s="46" t="str">
        <f aca="false">IF(C33&gt;0,"+","-")</f>
        <v>+</v>
      </c>
      <c r="C33" s="24" t="n">
        <v>120332</v>
      </c>
      <c r="D33" s="24" t="n">
        <v>84532</v>
      </c>
      <c r="E33" s="44" t="n">
        <f aca="false">(+C33/D33)-1</f>
        <v>0.423508257228032</v>
      </c>
      <c r="F33" s="24" t="n">
        <v>103366</v>
      </c>
      <c r="G33" s="44" t="n">
        <f aca="false">(+D33/F33)-1</f>
        <v>-0.182206915233249</v>
      </c>
    </row>
    <row r="34" customFormat="false" ht="12.8" hidden="false" customHeight="false" outlineLevel="0" collapsed="false">
      <c r="A34" s="101" t="s">
        <v>159</v>
      </c>
      <c r="B34" s="104" t="n">
        <f aca="false">SUM(C27:C33)</f>
        <v>1775848</v>
      </c>
      <c r="C34" s="104"/>
      <c r="D34" s="26" t="n">
        <f aca="false">SUM(D27:D33)</f>
        <v>-268183</v>
      </c>
      <c r="E34" s="103" t="n">
        <f aca="false">(+B34/D34)-1</f>
        <v>-7.62177692098306</v>
      </c>
      <c r="F34" s="26" t="n">
        <f aca="false">SUM(F27:F33)</f>
        <v>19132</v>
      </c>
      <c r="G34" s="103" t="n">
        <f aca="false">(+D34/F34)-1</f>
        <v>-15.0175099310056</v>
      </c>
    </row>
    <row r="35" customFormat="false" ht="12.8" hidden="false" customHeight="false" outlineLevel="0" collapsed="false">
      <c r="A35" s="105" t="s">
        <v>167</v>
      </c>
      <c r="B35" s="105"/>
      <c r="C35" s="105"/>
      <c r="D35" s="105"/>
      <c r="E35" s="105"/>
      <c r="F35" s="105"/>
      <c r="G35" s="105"/>
    </row>
    <row r="36" customFormat="false" ht="12.8" hidden="false" customHeight="false" outlineLevel="0" collapsed="false">
      <c r="A36" s="28" t="s">
        <v>168</v>
      </c>
      <c r="B36" s="46" t="str">
        <f aca="false">IF(C36&gt;0,"+","-")</f>
        <v>-</v>
      </c>
      <c r="C36" s="24" t="n">
        <v>0</v>
      </c>
      <c r="D36" s="24" t="n">
        <v>0</v>
      </c>
      <c r="E36" s="106" t="e">
        <f aca="false">(+C36/D36)-1</f>
        <v>#DIV/0!</v>
      </c>
      <c r="F36" s="24" t="n">
        <v>0</v>
      </c>
      <c r="G36" s="44" t="e">
        <f aca="false">(+D36/F36)-1</f>
        <v>#DIV/0!</v>
      </c>
    </row>
    <row r="37" customFormat="false" ht="12.8" hidden="false" customHeight="false" outlineLevel="0" collapsed="false">
      <c r="A37" s="0" t="s">
        <v>169</v>
      </c>
      <c r="B37" s="46" t="str">
        <f aca="false">IF(C37&gt;0,"+","-")</f>
        <v>-</v>
      </c>
      <c r="C37" s="24" t="n">
        <v>-8669168</v>
      </c>
      <c r="D37" s="24" t="n">
        <v>-7873643</v>
      </c>
      <c r="E37" s="106" t="n">
        <f aca="false">(+C37/D37)-1</f>
        <v>0.101036457964884</v>
      </c>
      <c r="F37" s="24" t="n">
        <v>-7412538</v>
      </c>
      <c r="G37" s="44" t="n">
        <f aca="false">(+D37/F37)-1</f>
        <v>0.0622060891964398</v>
      </c>
    </row>
    <row r="38" customFormat="false" ht="19.4" hidden="false" customHeight="false" outlineLevel="0" collapsed="false">
      <c r="A38" s="107" t="s">
        <v>170</v>
      </c>
      <c r="B38" s="46" t="str">
        <f aca="false">IF(C38&gt;0,"+","-")</f>
        <v>+</v>
      </c>
      <c r="C38" s="24" t="n">
        <v>6662204</v>
      </c>
      <c r="D38" s="24" t="n">
        <v>7641049</v>
      </c>
      <c r="E38" s="106" t="n">
        <f aca="false">(+C38/D38)-1</f>
        <v>-0.128103484220557</v>
      </c>
      <c r="F38" s="24" t="n">
        <v>7111507</v>
      </c>
      <c r="G38" s="44" t="n">
        <f aca="false">(+D38/F38)-1</f>
        <v>0.0744626982719696</v>
      </c>
    </row>
    <row r="39" customFormat="false" ht="12.8" hidden="false" customHeight="false" outlineLevel="0" collapsed="false">
      <c r="A39" s="0" t="s">
        <v>171</v>
      </c>
      <c r="B39" s="46" t="str">
        <f aca="false">IF(C39&gt;0,"+","-")</f>
        <v>-</v>
      </c>
      <c r="C39" s="24" t="n">
        <v>0</v>
      </c>
      <c r="D39" s="24" t="n">
        <v>0</v>
      </c>
      <c r="E39" s="106" t="e">
        <f aca="false">(+C39/D39)-1</f>
        <v>#DIV/0!</v>
      </c>
      <c r="F39" s="24" t="n">
        <v>0</v>
      </c>
      <c r="G39" s="44" t="e">
        <f aca="false">(+D39/F39)-1</f>
        <v>#DIV/0!</v>
      </c>
    </row>
    <row r="40" customFormat="false" ht="12.8" hidden="false" customHeight="false" outlineLevel="0" collapsed="false">
      <c r="A40" s="0" t="s">
        <v>172</v>
      </c>
      <c r="B40" s="46" t="str">
        <f aca="false">IF(C40&gt;0,"+","-")</f>
        <v>-</v>
      </c>
      <c r="C40" s="24" t="n">
        <v>-286260</v>
      </c>
      <c r="D40" s="24" t="n">
        <v>-286860</v>
      </c>
      <c r="E40" s="106" t="n">
        <f aca="false">(+C40/D40)-1</f>
        <v>-0.00209161263334034</v>
      </c>
      <c r="F40" s="24" t="n">
        <v>-192636</v>
      </c>
      <c r="G40" s="44" t="n">
        <f aca="false">(+D40/F40)-1</f>
        <v>0.489129757677693</v>
      </c>
    </row>
    <row r="41" customFormat="false" ht="12.8" hidden="false" customHeight="false" outlineLevel="0" collapsed="false">
      <c r="A41" s="0" t="s">
        <v>173</v>
      </c>
      <c r="B41" s="46" t="str">
        <f aca="false">IF(C41&gt;0,"+","-")</f>
        <v>-</v>
      </c>
      <c r="C41" s="24" t="n">
        <v>0</v>
      </c>
      <c r="D41" s="24" t="n">
        <v>-70174</v>
      </c>
      <c r="E41" s="106" t="n">
        <f aca="false">(+C41/D41)-1</f>
        <v>-1</v>
      </c>
      <c r="F41" s="24" t="n">
        <v>-146384</v>
      </c>
      <c r="G41" s="44" t="n">
        <f aca="false">(+D41/F41)-1</f>
        <v>-0.520617007323205</v>
      </c>
    </row>
    <row r="42" customFormat="false" ht="12.8" hidden="false" customHeight="false" outlineLevel="0" collapsed="false">
      <c r="A42" s="0" t="s">
        <v>174</v>
      </c>
      <c r="B42" s="46" t="str">
        <f aca="false">IF(C42&gt;0,"+","-")</f>
        <v>-</v>
      </c>
      <c r="C42" s="24" t="n">
        <v>0</v>
      </c>
      <c r="D42" s="24" t="n">
        <v>0</v>
      </c>
      <c r="E42" s="106" t="e">
        <f aca="false">(+C42/D42)-1</f>
        <v>#DIV/0!</v>
      </c>
      <c r="F42" s="24" t="n">
        <v>0</v>
      </c>
      <c r="G42" s="44" t="e">
        <f aca="false">(+D42/F42)-1</f>
        <v>#DIV/0!</v>
      </c>
    </row>
    <row r="43" customFormat="false" ht="12.8" hidden="false" customHeight="false" outlineLevel="0" collapsed="false">
      <c r="A43" s="101" t="s">
        <v>159</v>
      </c>
      <c r="B43" s="104" t="n">
        <f aca="false">SUM(C36:C42)</f>
        <v>-2293224</v>
      </c>
      <c r="C43" s="104"/>
      <c r="D43" s="26" t="n">
        <f aca="false">SUM(D36:D42)</f>
        <v>-589628</v>
      </c>
      <c r="E43" s="103" t="n">
        <f aca="false">(+B43/D43)-1</f>
        <v>2.88927255829099</v>
      </c>
      <c r="F43" s="26" t="n">
        <f aca="false">SUM(F36:F42)</f>
        <v>-640051</v>
      </c>
      <c r="G43" s="103" t="n">
        <f aca="false">(+D43/F43)-1</f>
        <v>-0.078779659745864</v>
      </c>
    </row>
    <row r="44" customFormat="false" ht="12.8" hidden="false" customHeight="false" outlineLevel="0" collapsed="false">
      <c r="A44" s="50" t="s">
        <v>175</v>
      </c>
      <c r="B44" s="50"/>
      <c r="C44" s="50"/>
      <c r="D44" s="50"/>
      <c r="E44" s="50"/>
      <c r="F44" s="50"/>
      <c r="G44" s="50"/>
    </row>
    <row r="45" customFormat="false" ht="12.8" hidden="false" customHeight="false" outlineLevel="0" collapsed="false">
      <c r="A45" s="101" t="s">
        <v>176</v>
      </c>
      <c r="B45" s="108" t="n">
        <v>280640</v>
      </c>
      <c r="C45" s="108"/>
      <c r="D45" s="26" t="n">
        <v>280640</v>
      </c>
      <c r="E45" s="103" t="n">
        <f aca="false">(+B45/D45)-1</f>
        <v>0</v>
      </c>
      <c r="F45" s="26" t="n">
        <v>276698</v>
      </c>
      <c r="G45" s="103" t="n">
        <f aca="false">(+D45/F45)-1</f>
        <v>0.0142465793030668</v>
      </c>
    </row>
    <row r="46" customFormat="false" ht="12.8" hidden="false" customHeight="false" outlineLevel="0" collapsed="false">
      <c r="A46" s="101" t="s">
        <v>177</v>
      </c>
      <c r="B46" s="108" t="n">
        <f aca="false">+B25+B34+B43</f>
        <v>34386</v>
      </c>
      <c r="C46" s="108"/>
      <c r="D46" s="26" t="n">
        <f aca="false">+D43+D34+D25</f>
        <v>-267</v>
      </c>
      <c r="E46" s="103" t="n">
        <f aca="false">(+B46/D46)-1</f>
        <v>-129.786516853933</v>
      </c>
      <c r="F46" s="26" t="n">
        <f aca="false">+F43+F34+F25</f>
        <v>3972</v>
      </c>
      <c r="G46" s="103" t="n">
        <f aca="false">(+D46/F46)-1</f>
        <v>-1.06722054380665</v>
      </c>
    </row>
    <row r="47" customFormat="false" ht="12.8" hidden="false" customHeight="false" outlineLevel="0" collapsed="false">
      <c r="A47" s="101" t="s">
        <v>178</v>
      </c>
      <c r="B47" s="108" t="n">
        <f aca="false">+B45+B46</f>
        <v>315026</v>
      </c>
      <c r="C47" s="108"/>
      <c r="D47" s="26" t="n">
        <f aca="false">+D45+D46</f>
        <v>280373</v>
      </c>
      <c r="E47" s="103" t="n">
        <f aca="false">(+B47/D47)-1</f>
        <v>0.123596066668331</v>
      </c>
      <c r="F47" s="26" t="n">
        <f aca="false">+F45+F46</f>
        <v>280670</v>
      </c>
      <c r="G47" s="103" t="n">
        <f aca="false">(+D47/F47)-1</f>
        <v>-0.00105818220686216</v>
      </c>
    </row>
    <row r="48" customFormat="false" ht="12.8" hidden="false" customHeight="false" outlineLevel="0" collapsed="false">
      <c r="A48" s="50"/>
      <c r="B48" s="50"/>
      <c r="C48" s="50"/>
      <c r="D48" s="50"/>
      <c r="E48" s="50"/>
      <c r="F48" s="50"/>
      <c r="G48" s="50"/>
    </row>
  </sheetData>
  <mergeCells count="17">
    <mergeCell ref="A3:G3"/>
    <mergeCell ref="I3:K3"/>
    <mergeCell ref="I4:K4"/>
    <mergeCell ref="I5:K5"/>
    <mergeCell ref="I6:K6"/>
    <mergeCell ref="I7:K7"/>
    <mergeCell ref="I8:K8"/>
    <mergeCell ref="B25:C25"/>
    <mergeCell ref="A26:G26"/>
    <mergeCell ref="B34:C34"/>
    <mergeCell ref="A35:G35"/>
    <mergeCell ref="B43:C43"/>
    <mergeCell ref="A44:G44"/>
    <mergeCell ref="B45:C45"/>
    <mergeCell ref="B46:C46"/>
    <mergeCell ref="B47:C47"/>
    <mergeCell ref="A48:G48"/>
  </mergeCells>
  <hyperlinks>
    <hyperlink ref="A1" location="Опис" display="Назад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2022-05-23T16:46:00Z</dcterms:created>
  <dc:creator/>
  <dc:description/>
  <dc:language>en-US</dc:language>
  <cp:lastModifiedBy/>
  <dcterms:modified xsi:type="dcterms:W3CDTF">2022-05-28T11:54:35Z</dcterms:modified>
  <cp:revision>24</cp:revision>
  <dc:subject/>
  <dc:title/>
</cp:coreProperties>
</file>