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externalReferences>
    <externalReference r:id="rId6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5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</commentList>
</comments>
</file>

<file path=xl/sharedStrings.xml><?xml version="1.0" encoding="utf-8"?>
<sst xmlns="http://schemas.openxmlformats.org/spreadsheetml/2006/main" count="193" uniqueCount="171">
  <si>
    <t xml:space="preserve">Линкови</t>
  </si>
  <si>
    <t xml:space="preserve">Готвински принос</t>
  </si>
  <si>
    <t xml:space="preserve">Назив на АД</t>
  </si>
  <si>
    <t xml:space="preserve">Основана</t>
  </si>
  <si>
    <t xml:space="preserve">Средства</t>
  </si>
  <si>
    <t xml:space="preserve">Тикер</t>
  </si>
  <si>
    <t xml:space="preserve">Дејност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</si>
  <si>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</si>
  <si>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</si>
  <si>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</si>
  <si>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</si>
  <si>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</si>
  <si>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</si>
  <si>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</si>
  <si>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</si>
  <si>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</si>
  <si>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</si>
  <si>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</si>
  <si>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</si>
  <si>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</si>
  <si>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</si>
  <si>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</si>
  <si>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</si>
  <si>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</si>
  <si>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</si>
  <si>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</si>
  <si>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</si>
  <si>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</si>
  <si>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</si>
  <si>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</si>
  <si>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</si>
  <si>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Оперативни текови</t>
  </si>
  <si>
    <t xml:space="preserve">Бруто Приходи</t>
  </si>
  <si>
    <t xml:space="preserve">Трош за произ/наб.</t>
  </si>
  <si>
    <t xml:space="preserve">Бруто Добивка (COGS)</t>
  </si>
  <si>
    <t xml:space="preserve">Трош за продажба</t>
  </si>
  <si>
    <t xml:space="preserve">Трош за истр. и раз.</t>
  </si>
  <si>
    <t xml:space="preserve">Трош за админ. и мен.</t>
  </si>
  <si>
    <t xml:space="preserve">Оперативни трошоци</t>
  </si>
  <si>
    <t xml:space="preserve">Оперативна добивка (EBITDA)</t>
  </si>
  <si>
    <t xml:space="preserve">Финансирање</t>
  </si>
  <si>
    <t xml:space="preserve">Приходи од финансирање</t>
  </si>
  <si>
    <t xml:space="preserve">Расходи од финансирање</t>
  </si>
  <si>
    <t xml:space="preserve">Добивка од финан.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</si>
  <si>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</si>
  <si>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</si>
  <si>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</si>
  <si>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</si>
  <si>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</si>
  <si>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</si>
  <si>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</si>
  <si>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</si>
  <si>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</si>
  <si>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</si>
  <si>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</si>
  <si>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</si>
  <si>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</si>
  <si>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</si>
  <si>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Пазарна цена</t>
  </si>
  <si>
    <t xml:space="preserve">Разлика (Профит/Разлика)</t>
  </si>
  <si>
    <t xml:space="preserve">Дивиденда</t>
  </si>
  <si>
    <t xml:space="preserve">Вредност </t>
  </si>
  <si>
    <t xml:space="preserve">по 10год</t>
  </si>
  <si>
    <t xml:space="preserve">Куповна цена</t>
  </si>
  <si>
    <t xml:space="preserve">Апс. Разлика (Профит/Разлика)</t>
  </si>
  <si>
    <t xml:space="preserve">Годишна</t>
  </si>
  <si>
    <t xml:space="preserve">Бруто Маржа</t>
  </si>
  <si>
    <t xml:space="preserve">Оперативна Маржа</t>
  </si>
  <si>
    <t xml:space="preserve">Профит Маржа</t>
  </si>
  <si>
    <t xml:space="preserve">Данок</t>
  </si>
  <si>
    <t xml:space="preserve">Удели на приходи</t>
  </si>
  <si>
    <t xml:space="preserve">Приход од продажба</t>
  </si>
  <si>
    <t xml:space="preserve">Приход од финансирање</t>
  </si>
  <si>
    <t xml:space="preserve">Приход од други текови</t>
  </si>
  <si>
    <t xml:space="preserve">Пораст на приход г/г</t>
  </si>
  <si>
    <t xml:space="preserve">Пораст на трошоци за продажба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</si>
  <si>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</si>
  <si>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</si>
  <si>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</si>
  <si>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</si>
  <si>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</si>
  <si>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</si>
  <si>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Цена/Добивка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</si>
  <si>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</si>
  <si>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</si>
  <si>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</si>
  <si>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</si>
  <si>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</si>
  <si>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</si>
  <si>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</si>
  <si>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</si>
  <si>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спрема добавувачи</t>
  </si>
  <si>
    <t xml:space="preserve">Парични еквиваленти</t>
  </si>
  <si>
    <t xml:space="preserve">Обврски спрема државата</t>
  </si>
  <si>
    <t xml:space="preserve">Побарувања од купувачи</t>
  </si>
  <si>
    <t xml:space="preserve">Обврски за краткорочни кредити</t>
  </si>
  <si>
    <t xml:space="preserve">Побарувања (останати)</t>
  </si>
  <si>
    <t xml:space="preserve">ПВР</t>
  </si>
  <si>
    <t xml:space="preserve">Краткорочни вложувања</t>
  </si>
  <si>
    <t xml:space="preserve">Залиха</t>
  </si>
  <si>
    <t xml:space="preserve">Постојани обврски</t>
  </si>
  <si>
    <t xml:space="preserve">АВР</t>
  </si>
  <si>
    <t xml:space="preserve">Обврски за долгорочни кредити</t>
  </si>
  <si>
    <t xml:space="preserve">Долго. обврски кон добавувачи</t>
  </si>
  <si>
    <t xml:space="preserve">Постојани средства</t>
  </si>
  <si>
    <t xml:space="preserve">Одложени даночни обврски</t>
  </si>
  <si>
    <t xml:space="preserve">Недвижност</t>
  </si>
  <si>
    <t xml:space="preserve">Долгорочни обврски</t>
  </si>
  <si>
    <t xml:space="preserve">Опрема</t>
  </si>
  <si>
    <t xml:space="preserve">Биолошки средства</t>
  </si>
  <si>
    <t xml:space="preserve">Вкупно обврски</t>
  </si>
  <si>
    <t xml:space="preserve">Долгорочни вложувања</t>
  </si>
  <si>
    <t xml:space="preserve">Побарувања по долгорочни вло.</t>
  </si>
  <si>
    <t xml:space="preserve">Капитал</t>
  </si>
  <si>
    <t xml:space="preserve">Нематријални средства</t>
  </si>
  <si>
    <t xml:space="preserve">Основна главина</t>
  </si>
  <si>
    <t xml:space="preserve">Вложувања во хартии од вред.</t>
  </si>
  <si>
    <t xml:space="preserve">Резерви</t>
  </si>
  <si>
    <t xml:space="preserve">Вложување во недвижнини</t>
  </si>
  <si>
    <t xml:space="preserve">Акумулирана добивка/загуба</t>
  </si>
  <si>
    <t xml:space="preserve">Останати долгорочни средства</t>
  </si>
  <si>
    <t xml:space="preserve">Вкупно капитал</t>
  </si>
  <si>
    <t xml:space="preserve">Долгорочни средства</t>
  </si>
  <si>
    <t xml:space="preserve">Вкупно средства</t>
  </si>
  <si>
    <t xml:space="preserve">Вкупно пасива</t>
  </si>
  <si>
    <t xml:space="preserve">Вкупно пари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</si>
  <si>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</si>
  <si>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</si>
  <si>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</si>
  <si>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</si>
  <si>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</si>
  <si>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</si>
  <si>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</si>
  <si>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Нето добивка/загуба</t>
  </si>
  <si>
    <t xml:space="preserve">Амортизација</t>
  </si>
  <si>
    <t xml:space="preserve">Залихи</t>
  </si>
  <si>
    <t xml:space="preserve">Поб. на купувачите</t>
  </si>
  <si>
    <t xml:space="preserve">Поб. за издад. аванси</t>
  </si>
  <si>
    <t xml:space="preserve">Останати кратк. поб.</t>
  </si>
  <si>
    <t xml:space="preserve">Долг/Капитал</t>
  </si>
  <si>
    <t xml:space="preserve">Покритие на камата</t>
  </si>
  <si>
    <t xml:space="preserve">Обврски кон добав</t>
  </si>
  <si>
    <t xml:space="preserve">Обврски за при. аванси</t>
  </si>
  <si>
    <t xml:space="preserve">Поврат на побарувања</t>
  </si>
  <si>
    <t xml:space="preserve">Останати кратк обв.</t>
  </si>
  <si>
    <t xml:space="preserve">Рас./при од камати</t>
  </si>
  <si>
    <t xml:space="preserve">Дивиденди</t>
  </si>
  <si>
    <t xml:space="preserve">Расходи за платен данок</t>
  </si>
  <si>
    <t xml:space="preserve">Осн. Капитална доб/заг</t>
  </si>
  <si>
    <t xml:space="preserve">Вло. Капитална доб/заг</t>
  </si>
  <si>
    <t xml:space="preserve">Ост. Парични при/одл.</t>
  </si>
  <si>
    <t xml:space="preserve">Нето прилив/одлив</t>
  </si>
  <si>
    <t xml:space="preserve">Инвестициони активности</t>
  </si>
  <si>
    <t xml:space="preserve">Набавка на инв. Сред.</t>
  </si>
  <si>
    <t xml:space="preserve">Продажба на инв сред.</t>
  </si>
  <si>
    <t xml:space="preserve">При за хартии од вред</t>
  </si>
  <si>
    <t xml:space="preserve">Одл за хартии од вред</t>
  </si>
  <si>
    <t xml:space="preserve">Камати</t>
  </si>
  <si>
    <t xml:space="preserve">Дивиденди од инвести.</t>
  </si>
  <si>
    <t xml:space="preserve">Финансиски активности</t>
  </si>
  <si>
    <t xml:space="preserve">Издавање на акции и сл</t>
  </si>
  <si>
    <t xml:space="preserve">Враќање на заеми</t>
  </si>
  <si>
    <t xml:space="preserve">При. од издадени дол. хартии од вредност и кредити</t>
  </si>
  <si>
    <t xml:space="preserve">Стекнување на мал. Интерес</t>
  </si>
  <si>
    <t xml:space="preserve">Исплатена дивиденда</t>
  </si>
  <si>
    <t xml:space="preserve">Откуп/прод. на соп. акции</t>
  </si>
  <si>
    <t xml:space="preserve">Нам. на обвр. за фин. лизинг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</si>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</sst>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0"/>
    <numFmt numFmtId="172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B2B2B2"/>
        <bgColor rgb="FFB3CAC7"/>
      </patternFill>
    </fill>
    <fill>
      <patternFill patternType="solid">
        <fgColor rgb="FFF7D1D5"/>
        <bgColor rgb="FFFFDBB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DBB6"/>
        <bgColor rgb="FFF7D1D5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6F9D4"/>
      </patternFill>
    </fill>
    <fill>
      <patternFill patternType="solid">
        <fgColor rgb="FF999999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999999"/>
      </patternFill>
    </fill>
    <fill>
      <patternFill patternType="solid">
        <fgColor rgb="FFFFAA95"/>
        <bgColor rgb="FFEC9BA4"/>
      </patternFill>
    </fill>
    <fill>
      <patternFill patternType="solid">
        <fgColor rgb="FF2A6099"/>
        <bgColor rgb="FF666699"/>
      </patternFill>
    </fill>
    <fill>
      <patternFill patternType="solid">
        <fgColor rgb="FFDDDDDD"/>
        <bgColor rgb="FFF7D1D5"/>
      </patternFill>
    </fill>
    <fill>
      <patternFill patternType="solid">
        <fgColor rgb="FFEC9BA4"/>
        <bgColor rgb="FFFFAA95"/>
      </patternFill>
    </fill>
    <fill>
      <patternFill patternType="solid">
        <fgColor rgb="FFAFD095"/>
        <bgColor rgb="FFB3CAC7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D41A"/>
      </patternFill>
    </fill>
    <fill>
      <patternFill patternType="solid">
        <fgColor rgb="FFFFFF6D"/>
        <bgColor rgb="FFE8F2A1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7D1D5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6D"/>
      <rgbColor rgb="FFAFD095"/>
      <rgbColor rgb="FFEC9BA4"/>
      <rgbColor rgb="FFB2B2B2"/>
      <rgbColor rgb="FFFFDBB6"/>
      <rgbColor rgb="FF3366FF"/>
      <rgbColor rgb="FF33CCCC"/>
      <rgbColor rgb="FF81D41A"/>
      <rgbColor rgb="FFFFCC00"/>
      <rgbColor rgb="FFFFAA95"/>
      <rgbColor rgb="FFFF6600"/>
      <rgbColor rgb="FF666699"/>
      <rgbColor rgb="FF999999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178560</xdr:colOff>
      <xdr:row>0</xdr:row>
      <xdr:rowOff>9720</xdr:rowOff>
    </xdr:from>
    <xdr:to>
      <xdr:col>11</xdr:col>
      <xdr:colOff>188280</xdr:colOff>
      <xdr:row>23</xdr:row>
      <xdr:rowOff>162720</xdr:rowOff>
    </xdr:to>
    <xdr:sp>
      <xdr:nvSpPr>
        <xdr:cNvPr id="0" name="Line 1"/>
        <xdr:cNvSpPr/>
      </xdr:nvSpPr>
      <xdr:spPr>
        <a:xfrm>
          <a:off x="10892160" y="9720"/>
          <a:ext cx="9720" cy="38916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nonymous/Documents/home/anonymous/Documents/home/anonymous/Documents/home/anonymous/Documents/home/anonymous/Documents/home/anonymous/Documents/home/anonymous/Documents/home/anonymous/Documents/home/anonymous/Documents/MBI10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1">
          <cell r="D11">
            <v>4700</v>
          </cell>
        </row>
      </sheetData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4" min="3" style="0" width="18.77"/>
    <col collapsed="false" customWidth="true" hidden="false" outlineLevel="0" max="5" min="5" style="0" width="17.27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/>
      <c r="D2" s="0" t="s">
        <v>3</v>
      </c>
      <c r="E2" s="3"/>
      <c r="F2" s="4"/>
      <c r="G2" s="5"/>
      <c r="H2" s="5"/>
      <c r="I2" s="5"/>
      <c r="J2" s="5"/>
      <c r="K2" s="5"/>
      <c r="L2" s="6"/>
      <c r="M2" s="5"/>
    </row>
    <row r="3" customFormat="false" ht="12.8" hidden="false" customHeight="false" outlineLevel="0" collapsed="false">
      <c r="A3" s="2" t="s">
        <v>4</v>
      </c>
      <c r="B3" s="0" t="s">
        <v>5</v>
      </c>
      <c r="C3" s="3"/>
      <c r="D3" s="0" t="s">
        <v>6</v>
      </c>
      <c r="E3" s="3"/>
      <c r="F3" s="5"/>
      <c r="G3" s="7" t="s">
        <v>7</v>
      </c>
      <c r="H3" s="8" t="s">
        <v>8</v>
      </c>
      <c r="I3" s="9" t="s">
        <v>9</v>
      </c>
      <c r="J3" s="8" t="s">
        <v>10</v>
      </c>
      <c r="K3" s="9" t="s">
        <v>9</v>
      </c>
      <c r="L3" s="8" t="s">
        <v>11</v>
      </c>
      <c r="M3" s="9" t="s">
        <v>9</v>
      </c>
    </row>
    <row r="4" customFormat="false" ht="12.8" hidden="false" customHeight="false" outlineLevel="0" collapsed="false">
      <c r="A4" s="2" t="s">
        <v>12</v>
      </c>
      <c r="C4" s="10"/>
      <c r="E4" s="10"/>
      <c r="F4" s="5"/>
      <c r="G4" s="3"/>
      <c r="H4" s="11"/>
      <c r="I4" s="12"/>
      <c r="J4" s="11"/>
      <c r="K4" s="12"/>
      <c r="L4" s="11"/>
      <c r="M4" s="12"/>
    </row>
    <row r="5" customFormat="false" ht="12.8" hidden="false" customHeight="false" outlineLevel="0" collapsed="false">
      <c r="D5" s="0" t="s">
        <v>13</v>
      </c>
      <c r="E5" s="13" t="n">
        <f aca="false">[1]Sheet1!D11</f>
        <v>4700</v>
      </c>
      <c r="F5" s="5"/>
      <c r="G5" s="3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14</v>
      </c>
      <c r="E6" s="15" t="n">
        <f aca="false">452247/1000</f>
        <v>452.247</v>
      </c>
      <c r="F6" s="5"/>
      <c r="G6" s="3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15</v>
      </c>
      <c r="E7" s="16" t="n">
        <f aca="false">Средства!B27</f>
        <v>24573</v>
      </c>
      <c r="F7" s="5"/>
      <c r="G7" s="3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5"/>
      <c r="B8" s="5"/>
      <c r="C8" s="5"/>
      <c r="D8" s="5"/>
      <c r="E8" s="5"/>
      <c r="F8" s="5"/>
      <c r="G8" s="3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16</v>
      </c>
      <c r="B9" s="17" t="s">
        <v>17</v>
      </c>
      <c r="C9" s="17" t="s">
        <v>18</v>
      </c>
      <c r="D9" s="18" t="s">
        <v>19</v>
      </c>
      <c r="E9" s="17" t="s">
        <v>20</v>
      </c>
      <c r="F9" s="5"/>
      <c r="G9" s="3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5"/>
      <c r="G10" s="3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5"/>
      <c r="G11" s="3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5"/>
      <c r="G12" s="3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5"/>
      <c r="G13" s="3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5"/>
      <c r="G14" s="3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5"/>
      <c r="G15" s="3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2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41"/>
    <col collapsed="false" customWidth="true" hidden="false" outlineLevel="0" max="3" min="3" style="1" width="14.88"/>
    <col collapsed="false" customWidth="false" hidden="false" outlineLevel="0" max="4" min="4" style="1" width="11.52"/>
    <col collapsed="false" customWidth="true" hidden="false" outlineLevel="0" max="5" min="5" style="1" width="17.4"/>
    <col collapsed="false" customWidth="false" hidden="false" outlineLevel="0" max="14" min="6" style="1" width="11.52"/>
    <col collapsed="false" customWidth="true" hidden="false" outlineLevel="0" max="28" min="15" style="0" width="11.67"/>
  </cols>
  <sheetData>
    <row r="1" customFormat="false" ht="12.8" hidden="false" customHeight="false" outlineLevel="0" collapsed="false">
      <c r="A1" s="2" t="s">
        <v>21</v>
      </c>
      <c r="B1" s="19" t="n">
        <v>2019</v>
      </c>
      <c r="C1" s="19" t="s">
        <v>22</v>
      </c>
      <c r="D1" s="1" t="s">
        <v>23</v>
      </c>
      <c r="E1" s="1" t="s">
        <v>24</v>
      </c>
      <c r="F1" s="1" t="s">
        <v>25</v>
      </c>
      <c r="G1" s="1" t="n">
        <v>2020</v>
      </c>
      <c r="H1" s="1" t="s">
        <v>26</v>
      </c>
      <c r="I1" s="1" t="s">
        <v>27</v>
      </c>
      <c r="J1" s="1" t="s">
        <v>28</v>
      </c>
      <c r="K1" s="1" t="s">
        <v>29</v>
      </c>
      <c r="L1" s="1" t="n">
        <v>2021</v>
      </c>
      <c r="M1" s="1" t="s">
        <v>30</v>
      </c>
      <c r="N1" s="20"/>
      <c r="O1" s="21" t="n">
        <v>2019</v>
      </c>
      <c r="P1" s="21" t="n">
        <v>2020</v>
      </c>
      <c r="Q1" s="21" t="n">
        <v>2021</v>
      </c>
      <c r="R1" s="21" t="n">
        <v>2022</v>
      </c>
      <c r="S1" s="21" t="n">
        <v>2023</v>
      </c>
      <c r="T1" s="21" t="n">
        <v>2024</v>
      </c>
      <c r="U1" s="21" t="n">
        <v>2025</v>
      </c>
      <c r="V1" s="21" t="n">
        <v>2026</v>
      </c>
      <c r="W1" s="21" t="n">
        <v>2027</v>
      </c>
      <c r="X1" s="21" t="n">
        <v>2028</v>
      </c>
      <c r="Y1" s="21" t="n">
        <v>2029</v>
      </c>
      <c r="Z1" s="21" t="n">
        <v>2030</v>
      </c>
      <c r="AA1" s="21" t="n">
        <v>2031</v>
      </c>
      <c r="AB1" s="21" t="n">
        <v>2032</v>
      </c>
    </row>
    <row r="2" customFormat="false" ht="12.8" hidden="false" customHeight="false" outlineLevel="0" collapsed="false">
      <c r="N2" s="2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8" hidden="false" customHeight="false" outlineLevel="0" collapsed="false">
      <c r="A3" s="22" t="s">
        <v>31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0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customFormat="false" ht="12.8" hidden="false" customHeight="false" outlineLevel="0" collapsed="false">
      <c r="A4" s="0" t="s">
        <v>32</v>
      </c>
      <c r="B4" s="23" t="n">
        <v>312084</v>
      </c>
      <c r="C4" s="23" t="n">
        <f aca="false">31821+543</f>
        <v>32364</v>
      </c>
      <c r="D4" s="23" t="n">
        <f aca="false">(36971+683)-C4</f>
        <v>5290</v>
      </c>
      <c r="E4" s="23" t="n">
        <f aca="false">52908+701-(D4+C4)</f>
        <v>15955</v>
      </c>
      <c r="F4" s="23" t="n">
        <f aca="false">62500+704-(E4+D4+C4)</f>
        <v>9595</v>
      </c>
      <c r="G4" s="24" t="n">
        <f aca="false">SUM(C4:F4)</f>
        <v>63204</v>
      </c>
      <c r="H4" s="23" t="n">
        <v>10064</v>
      </c>
      <c r="I4" s="23" t="n">
        <f aca="false">(27224)-H4</f>
        <v>17160</v>
      </c>
      <c r="J4" s="23" t="n">
        <f aca="false">(66235)-(I4+H4)</f>
        <v>39011</v>
      </c>
      <c r="K4" s="23" t="n">
        <f aca="false">(123518)-(J4+I4+H4)</f>
        <v>57283</v>
      </c>
      <c r="L4" s="24" t="n">
        <f aca="false">SUM(H4:K4)</f>
        <v>123518</v>
      </c>
      <c r="M4" s="23" t="n">
        <v>36602</v>
      </c>
      <c r="N4" s="20"/>
      <c r="O4" s="23" t="n">
        <f aca="false">B4</f>
        <v>312084</v>
      </c>
      <c r="P4" s="23" t="n">
        <f aca="false">G4</f>
        <v>63204</v>
      </c>
      <c r="Q4" s="23" t="n">
        <f aca="false">L4</f>
        <v>123518</v>
      </c>
      <c r="R4" s="23" t="n">
        <f aca="false">Q4*1.06</f>
        <v>130929.08</v>
      </c>
      <c r="S4" s="23" t="n">
        <f aca="false">R4*1.06</f>
        <v>138784.8248</v>
      </c>
      <c r="T4" s="23" t="n">
        <f aca="false">S4*1.06</f>
        <v>147111.914288</v>
      </c>
      <c r="U4" s="23" t="n">
        <f aca="false">T4*1.06</f>
        <v>155938.62914528</v>
      </c>
      <c r="V4" s="23" t="n">
        <f aca="false">U4*1.06</f>
        <v>165294.946893997</v>
      </c>
      <c r="W4" s="23" t="n">
        <f aca="false">V4*1.06</f>
        <v>175212.643707637</v>
      </c>
      <c r="X4" s="23" t="n">
        <f aca="false">W4*1.06</f>
        <v>185725.402330095</v>
      </c>
      <c r="Y4" s="23" t="n">
        <f aca="false">X4*1.06</f>
        <v>196868.926469901</v>
      </c>
      <c r="Z4" s="23" t="n">
        <f aca="false">Y4*1.06</f>
        <v>208681.062058095</v>
      </c>
      <c r="AA4" s="23" t="n">
        <f aca="false">Z4*1.06</f>
        <v>221201.92578158</v>
      </c>
      <c r="AB4" s="23" t="n">
        <f aca="false">AA4*1.06</f>
        <v>234474.041328475</v>
      </c>
    </row>
    <row r="5" customFormat="false" ht="12.8" hidden="false" customHeight="false" outlineLevel="0" collapsed="false">
      <c r="A5" s="0" t="s">
        <v>33</v>
      </c>
      <c r="B5" s="23" t="n">
        <f aca="false">(12+58859+13354+27607+100889)</f>
        <v>200721</v>
      </c>
      <c r="C5" s="23" t="n">
        <f aca="false">9853+22700+3174</f>
        <v>35727</v>
      </c>
      <c r="D5" s="23" t="n">
        <f aca="false">56602-C5</f>
        <v>20875</v>
      </c>
      <c r="E5" s="23" t="n">
        <f aca="false">16977+5874+51987-(D5+C5)</f>
        <v>18236</v>
      </c>
      <c r="F5" s="23" t="n">
        <f aca="false">66584+8082+21157-(D5+E5+C5)</f>
        <v>20985</v>
      </c>
      <c r="G5" s="24" t="n">
        <f aca="false">SUM(C5:F5)</f>
        <v>95823</v>
      </c>
      <c r="H5" s="23" t="n">
        <f aca="false">3902+11945</f>
        <v>15847</v>
      </c>
      <c r="I5" s="23" t="n">
        <f aca="false">(24572+1558+8539)-H5</f>
        <v>18822</v>
      </c>
      <c r="J5" s="23" t="n">
        <f aca="false">(16235+3092+37726)-(I5+H5)</f>
        <v>22384</v>
      </c>
      <c r="K5" s="23" t="n">
        <f aca="false">(24671+56228+5005)-(I5+J5+H5)</f>
        <v>28851</v>
      </c>
      <c r="L5" s="24" t="n">
        <f aca="false">SUM(H5:K5)</f>
        <v>85904</v>
      </c>
      <c r="M5" s="23" t="n">
        <f aca="false">(10447+2206+16571)</f>
        <v>29224</v>
      </c>
      <c r="N5" s="20"/>
      <c r="O5" s="23" t="n">
        <f aca="false">B5</f>
        <v>200721</v>
      </c>
      <c r="P5" s="23" t="n">
        <f aca="false">G5</f>
        <v>95823</v>
      </c>
      <c r="Q5" s="23" t="n">
        <f aca="false">L5</f>
        <v>85904</v>
      </c>
      <c r="R5" s="23" t="n">
        <f aca="false">Q5*1.06</f>
        <v>91058.24</v>
      </c>
      <c r="S5" s="23" t="n">
        <f aca="false">R5*1.06</f>
        <v>96521.7344</v>
      </c>
      <c r="T5" s="23" t="n">
        <f aca="false">S5*1.06</f>
        <v>102313.038464</v>
      </c>
      <c r="U5" s="23" t="n">
        <f aca="false">T5*1.06</f>
        <v>108451.82077184</v>
      </c>
      <c r="V5" s="23" t="n">
        <f aca="false">U5*1.06</f>
        <v>114958.93001815</v>
      </c>
      <c r="W5" s="23" t="n">
        <f aca="false">V5*1.06</f>
        <v>121856.465819239</v>
      </c>
      <c r="X5" s="23" t="n">
        <f aca="false">W5*1.06</f>
        <v>129167.853768394</v>
      </c>
      <c r="Y5" s="23" t="n">
        <f aca="false">X5*1.06</f>
        <v>136917.924994498</v>
      </c>
      <c r="Z5" s="23" t="n">
        <f aca="false">Y5*1.06</f>
        <v>145133.000494167</v>
      </c>
      <c r="AA5" s="23" t="n">
        <f aca="false">Z5*1.06</f>
        <v>153840.980523817</v>
      </c>
      <c r="AB5" s="23" t="n">
        <f aca="false">AA5*1.06</f>
        <v>163071.439355246</v>
      </c>
    </row>
    <row r="6" customFormat="false" ht="12.8" hidden="false" customHeight="false" outlineLevel="0" collapsed="false">
      <c r="A6" s="0" t="s">
        <v>34</v>
      </c>
      <c r="B6" s="25" t="n">
        <f aca="false">+B4-B5</f>
        <v>111363</v>
      </c>
      <c r="C6" s="25" t="n">
        <f aca="false">+C4-C5</f>
        <v>-3363</v>
      </c>
      <c r="D6" s="25" t="n">
        <f aca="false">+D4-D5</f>
        <v>-15585</v>
      </c>
      <c r="E6" s="25" t="n">
        <f aca="false">+E4-E5</f>
        <v>-2281</v>
      </c>
      <c r="F6" s="25" t="n">
        <f aca="false">+F4-F5</f>
        <v>-11390</v>
      </c>
      <c r="G6" s="26" t="n">
        <f aca="false">SUM(C6:F6)</f>
        <v>-32619</v>
      </c>
      <c r="H6" s="25" t="n">
        <f aca="false">+H4-H5</f>
        <v>-5783</v>
      </c>
      <c r="I6" s="25" t="n">
        <f aca="false">+I4-I5</f>
        <v>-1662</v>
      </c>
      <c r="J6" s="25" t="n">
        <f aca="false">+J4-J5</f>
        <v>16627</v>
      </c>
      <c r="K6" s="25" t="n">
        <f aca="false">+K4-K5</f>
        <v>28432</v>
      </c>
      <c r="L6" s="26" t="n">
        <f aca="false">SUM(H6:K6)</f>
        <v>37614</v>
      </c>
      <c r="M6" s="25" t="n">
        <f aca="false">+M4-M5</f>
        <v>7378</v>
      </c>
      <c r="N6" s="20"/>
      <c r="O6" s="25" t="n">
        <f aca="false">+O4-O5</f>
        <v>111363</v>
      </c>
      <c r="P6" s="25" t="n">
        <f aca="false">+P4-P5</f>
        <v>-32619</v>
      </c>
      <c r="Q6" s="25" t="n">
        <f aca="false">+Q4-Q5</f>
        <v>37614</v>
      </c>
      <c r="R6" s="25" t="n">
        <f aca="false">+R4-R5</f>
        <v>39870.84</v>
      </c>
      <c r="S6" s="25" t="n">
        <f aca="false">+S4-S5</f>
        <v>42263.0904</v>
      </c>
      <c r="T6" s="25" t="n">
        <f aca="false">+T4-T5</f>
        <v>44798.875824</v>
      </c>
      <c r="U6" s="25" t="n">
        <f aca="false">+U4-U5</f>
        <v>47486.80837344</v>
      </c>
      <c r="V6" s="25" t="n">
        <f aca="false">+V4-V5</f>
        <v>50336.0168758464</v>
      </c>
      <c r="W6" s="25" t="n">
        <f aca="false">+W4-W5</f>
        <v>53356.1778883971</v>
      </c>
      <c r="X6" s="25" t="n">
        <f aca="false">+X4-X5</f>
        <v>56557.548561701</v>
      </c>
      <c r="Y6" s="25" t="n">
        <f aca="false">+Y4-Y5</f>
        <v>59951.001475403</v>
      </c>
      <c r="Z6" s="25" t="n">
        <f aca="false">+Z4-Z5</f>
        <v>63548.0615639272</v>
      </c>
      <c r="AA6" s="25" t="n">
        <f aca="false">+AA4-AA5</f>
        <v>67360.9452577628</v>
      </c>
      <c r="AB6" s="25" t="n">
        <f aca="false">+AB4-AB5</f>
        <v>71402.6019732286</v>
      </c>
    </row>
    <row r="7" customFormat="false" ht="12.8" hidden="false" customHeight="false" outlineLevel="0" collapsed="false">
      <c r="A7" s="0" t="s">
        <v>35</v>
      </c>
      <c r="B7" s="23" t="n">
        <v>0</v>
      </c>
      <c r="C7" s="23" t="n">
        <v>0</v>
      </c>
      <c r="D7" s="23" t="n">
        <v>0</v>
      </c>
      <c r="E7" s="23" t="n">
        <v>0</v>
      </c>
      <c r="F7" s="23" t="n">
        <v>0</v>
      </c>
      <c r="G7" s="23" t="n">
        <v>0</v>
      </c>
      <c r="H7" s="23" t="n">
        <v>0</v>
      </c>
      <c r="I7" s="23" t="n">
        <v>0</v>
      </c>
      <c r="J7" s="23" t="n">
        <v>0</v>
      </c>
      <c r="K7" s="23" t="n">
        <v>0</v>
      </c>
      <c r="L7" s="23" t="n">
        <v>0</v>
      </c>
      <c r="M7" s="23" t="n">
        <v>0</v>
      </c>
      <c r="N7" s="20"/>
      <c r="O7" s="23" t="n">
        <f aca="false">B7</f>
        <v>0</v>
      </c>
      <c r="P7" s="23" t="n">
        <f aca="false">G7</f>
        <v>0</v>
      </c>
      <c r="Q7" s="23" t="n">
        <f aca="false">L7</f>
        <v>0</v>
      </c>
      <c r="R7" s="23" t="n">
        <f aca="false">M7</f>
        <v>0</v>
      </c>
      <c r="S7" s="23" t="n">
        <f aca="false">N7</f>
        <v>0</v>
      </c>
      <c r="T7" s="23" t="n">
        <f aca="false">O7</f>
        <v>0</v>
      </c>
      <c r="U7" s="23" t="n">
        <f aca="false">P7</f>
        <v>0</v>
      </c>
      <c r="V7" s="23" t="n">
        <f aca="false">Q7</f>
        <v>0</v>
      </c>
      <c r="W7" s="23" t="n">
        <f aca="false">R7</f>
        <v>0</v>
      </c>
      <c r="X7" s="23" t="n">
        <f aca="false">S7</f>
        <v>0</v>
      </c>
      <c r="Y7" s="23" t="n">
        <f aca="false">T7</f>
        <v>0</v>
      </c>
      <c r="Z7" s="23" t="n">
        <f aca="false">U7</f>
        <v>0</v>
      </c>
      <c r="AA7" s="23" t="n">
        <f aca="false">V7</f>
        <v>0</v>
      </c>
      <c r="AB7" s="23" t="n">
        <f aca="false">W7</f>
        <v>0</v>
      </c>
    </row>
    <row r="8" customFormat="false" ht="12.8" hidden="false" customHeight="false" outlineLevel="0" collapsed="false">
      <c r="A8" s="27" t="s">
        <v>36</v>
      </c>
      <c r="B8" s="23" t="n">
        <v>0</v>
      </c>
      <c r="C8" s="23" t="n">
        <v>0</v>
      </c>
      <c r="D8" s="23" t="n">
        <v>0</v>
      </c>
      <c r="E8" s="23" t="n">
        <v>0</v>
      </c>
      <c r="F8" s="23" t="n">
        <v>0</v>
      </c>
      <c r="G8" s="23" t="n">
        <v>0</v>
      </c>
      <c r="H8" s="23" t="n">
        <v>0</v>
      </c>
      <c r="I8" s="23" t="n">
        <v>0</v>
      </c>
      <c r="J8" s="23" t="n">
        <v>0</v>
      </c>
      <c r="K8" s="23" t="n">
        <v>0</v>
      </c>
      <c r="L8" s="23" t="n">
        <v>0</v>
      </c>
      <c r="M8" s="23" t="n">
        <v>0</v>
      </c>
      <c r="N8" s="20"/>
      <c r="O8" s="23" t="n">
        <f aca="false">B8</f>
        <v>0</v>
      </c>
      <c r="P8" s="23" t="n">
        <f aca="false">G8</f>
        <v>0</v>
      </c>
      <c r="Q8" s="23" t="n">
        <f aca="false">L8</f>
        <v>0</v>
      </c>
      <c r="R8" s="23" t="n">
        <f aca="false">M8</f>
        <v>0</v>
      </c>
      <c r="S8" s="23" t="n">
        <f aca="false">N8</f>
        <v>0</v>
      </c>
      <c r="T8" s="23" t="n">
        <f aca="false">O8</f>
        <v>0</v>
      </c>
      <c r="U8" s="23" t="n">
        <f aca="false">P8</f>
        <v>0</v>
      </c>
      <c r="V8" s="23" t="n">
        <f aca="false">Q8</f>
        <v>0</v>
      </c>
      <c r="W8" s="23" t="n">
        <f aca="false">R8</f>
        <v>0</v>
      </c>
      <c r="X8" s="23" t="n">
        <f aca="false">S8</f>
        <v>0</v>
      </c>
      <c r="Y8" s="23" t="n">
        <f aca="false">T8</f>
        <v>0</v>
      </c>
      <c r="Z8" s="23" t="n">
        <f aca="false">U8</f>
        <v>0</v>
      </c>
      <c r="AA8" s="23" t="n">
        <f aca="false">V8</f>
        <v>0</v>
      </c>
      <c r="AB8" s="23" t="n">
        <f aca="false">W8</f>
        <v>0</v>
      </c>
    </row>
    <row r="9" customFormat="false" ht="12.8" hidden="false" customHeight="false" outlineLevel="0" collapsed="false">
      <c r="A9" s="0" t="s">
        <v>37</v>
      </c>
      <c r="B9" s="28" t="n">
        <v>27607</v>
      </c>
      <c r="C9" s="23" t="n">
        <f aca="false">4542</f>
        <v>4542</v>
      </c>
      <c r="D9" s="23" t="n">
        <f aca="false">7219-C9</f>
        <v>2677</v>
      </c>
      <c r="E9" s="23" t="n">
        <f aca="false">9170-(D9+C9)</f>
        <v>1951</v>
      </c>
      <c r="F9" s="23" t="n">
        <f aca="false">8082-(E9+D9+C9)</f>
        <v>-1088</v>
      </c>
      <c r="G9" s="24" t="n">
        <f aca="false">SUM(C9:F9)</f>
        <v>8082</v>
      </c>
      <c r="H9" s="23" t="n">
        <v>-2949</v>
      </c>
      <c r="I9" s="23" t="n">
        <f aca="false">(5750)-H9</f>
        <v>8699</v>
      </c>
      <c r="J9" s="23" t="n">
        <f aca="false">(9465)-(I9+H9)</f>
        <v>3715</v>
      </c>
      <c r="K9" s="23" t="n">
        <f aca="false">(13080)-(J9+I9+H9)</f>
        <v>3615</v>
      </c>
      <c r="L9" s="24" t="n">
        <f aca="false">SUM(H9:K9)</f>
        <v>13080</v>
      </c>
      <c r="M9" s="23" t="n">
        <v>3424</v>
      </c>
      <c r="N9" s="20"/>
      <c r="O9" s="23" t="n">
        <f aca="false">B9</f>
        <v>27607</v>
      </c>
      <c r="P9" s="23" t="n">
        <f aca="false">G9</f>
        <v>8082</v>
      </c>
      <c r="Q9" s="23" t="n">
        <f aca="false">L9</f>
        <v>13080</v>
      </c>
      <c r="R9" s="23" t="n">
        <f aca="false">Q9*1.06</f>
        <v>13864.8</v>
      </c>
      <c r="S9" s="23" t="n">
        <f aca="false">R9*1.06</f>
        <v>14696.688</v>
      </c>
      <c r="T9" s="23" t="n">
        <f aca="false">S9*1.06</f>
        <v>15578.48928</v>
      </c>
      <c r="U9" s="23" t="n">
        <f aca="false">T9*1.06</f>
        <v>16513.1986368</v>
      </c>
      <c r="V9" s="23" t="n">
        <f aca="false">U9*1.06</f>
        <v>17503.990555008</v>
      </c>
      <c r="W9" s="23" t="n">
        <f aca="false">V9*1.06</f>
        <v>18554.2299883085</v>
      </c>
      <c r="X9" s="23" t="n">
        <f aca="false">W9*1.06</f>
        <v>19667.483787607</v>
      </c>
      <c r="Y9" s="23" t="n">
        <f aca="false">X9*1.06</f>
        <v>20847.5328148634</v>
      </c>
      <c r="Z9" s="23" t="n">
        <f aca="false">Y9*1.06</f>
        <v>22098.3847837552</v>
      </c>
      <c r="AA9" s="23" t="n">
        <f aca="false">Z9*1.06</f>
        <v>23424.2878707805</v>
      </c>
      <c r="AB9" s="23" t="n">
        <f aca="false">AA9*1.06</f>
        <v>24829.7451430274</v>
      </c>
    </row>
    <row r="10" customFormat="false" ht="12.8" hidden="false" customHeight="false" outlineLevel="0" collapsed="false">
      <c r="A10" s="0" t="s">
        <v>38</v>
      </c>
      <c r="B10" s="25" t="n">
        <f aca="false">SUM(B7:B9)</f>
        <v>27607</v>
      </c>
      <c r="C10" s="25" t="n">
        <f aca="false">SUM(C7:C9)</f>
        <v>4542</v>
      </c>
      <c r="D10" s="25" t="n">
        <f aca="false">SUM(D7:D9)</f>
        <v>2677</v>
      </c>
      <c r="E10" s="25" t="n">
        <f aca="false">SUM(E7:E9)</f>
        <v>1951</v>
      </c>
      <c r="F10" s="25" t="n">
        <f aca="false">SUM(F7:F9)</f>
        <v>-1088</v>
      </c>
      <c r="G10" s="26" t="n">
        <f aca="false">SUM(C10:F10)</f>
        <v>8082</v>
      </c>
      <c r="H10" s="25" t="n">
        <f aca="false">SUM(H7:H9)</f>
        <v>-2949</v>
      </c>
      <c r="I10" s="25" t="n">
        <f aca="false">SUM(I7:I9)</f>
        <v>8699</v>
      </c>
      <c r="J10" s="25" t="n">
        <f aca="false">SUM(J7:J9)</f>
        <v>3715</v>
      </c>
      <c r="K10" s="25" t="n">
        <f aca="false">SUM(K7:K9)</f>
        <v>3615</v>
      </c>
      <c r="L10" s="26" t="n">
        <f aca="false">SUM(H10:K10)</f>
        <v>13080</v>
      </c>
      <c r="M10" s="25" t="n">
        <f aca="false">SUM(M7:M9)</f>
        <v>3424</v>
      </c>
      <c r="N10" s="20"/>
      <c r="O10" s="25" t="n">
        <f aca="false">SUM(O7:O9)</f>
        <v>27607</v>
      </c>
      <c r="P10" s="25" t="n">
        <f aca="false">SUM(P7:P9)</f>
        <v>8082</v>
      </c>
      <c r="Q10" s="25" t="n">
        <f aca="false">SUM(Q7:Q9)</f>
        <v>13080</v>
      </c>
      <c r="R10" s="25" t="n">
        <f aca="false">SUM(R7:R9)</f>
        <v>13864.8</v>
      </c>
      <c r="S10" s="25" t="n">
        <f aca="false">SUM(S7:S9)</f>
        <v>14696.688</v>
      </c>
      <c r="T10" s="25" t="n">
        <f aca="false">SUM(T7:T9)</f>
        <v>15578.48928</v>
      </c>
      <c r="U10" s="25" t="n">
        <f aca="false">SUM(U7:U9)</f>
        <v>16513.1986368</v>
      </c>
      <c r="V10" s="25" t="n">
        <f aca="false">SUM(V7:V9)</f>
        <v>17503.990555008</v>
      </c>
      <c r="W10" s="25" t="n">
        <f aca="false">SUM(W7:W9)</f>
        <v>18554.2299883085</v>
      </c>
      <c r="X10" s="25" t="n">
        <f aca="false">SUM(X7:X9)</f>
        <v>19667.483787607</v>
      </c>
      <c r="Y10" s="25" t="n">
        <f aca="false">SUM(Y7:Y9)</f>
        <v>20847.5328148634</v>
      </c>
      <c r="Z10" s="25" t="n">
        <f aca="false">SUM(Z7:Z9)</f>
        <v>22098.3847837552</v>
      </c>
      <c r="AA10" s="25" t="n">
        <f aca="false">SUM(AA7:AA9)</f>
        <v>23424.2878707805</v>
      </c>
      <c r="AB10" s="25" t="n">
        <f aca="false">SUM(AB7:AB9)</f>
        <v>24829.7451430274</v>
      </c>
    </row>
    <row r="11" customFormat="false" ht="12.8" hidden="false" customHeight="false" outlineLevel="0" collapsed="false">
      <c r="A11" s="0" t="s">
        <v>39</v>
      </c>
      <c r="B11" s="29" t="n">
        <f aca="false">+B6-B10</f>
        <v>83756</v>
      </c>
      <c r="C11" s="29" t="n">
        <f aca="false">+C6-C10</f>
        <v>-7905</v>
      </c>
      <c r="D11" s="29" t="n">
        <f aca="false">+D6-D10</f>
        <v>-18262</v>
      </c>
      <c r="E11" s="29" t="n">
        <f aca="false">+E6-E10</f>
        <v>-4232</v>
      </c>
      <c r="F11" s="29" t="n">
        <f aca="false">+F6-F10</f>
        <v>-10302</v>
      </c>
      <c r="G11" s="26" t="n">
        <f aca="false">SUM(C11:F11)</f>
        <v>-40701</v>
      </c>
      <c r="H11" s="29" t="n">
        <f aca="false">+H6-H10</f>
        <v>-2834</v>
      </c>
      <c r="I11" s="29" t="n">
        <f aca="false">+I6-I10</f>
        <v>-10361</v>
      </c>
      <c r="J11" s="29" t="n">
        <f aca="false">+J6-J10</f>
        <v>12912</v>
      </c>
      <c r="K11" s="29" t="n">
        <f aca="false">+K6-K10</f>
        <v>24817</v>
      </c>
      <c r="L11" s="26" t="n">
        <f aca="false">SUM(H11:K11)</f>
        <v>24534</v>
      </c>
      <c r="M11" s="29" t="n">
        <f aca="false">+M6-M10</f>
        <v>3954</v>
      </c>
      <c r="N11" s="20"/>
      <c r="O11" s="29" t="n">
        <f aca="false">+O6-O10</f>
        <v>83756</v>
      </c>
      <c r="P11" s="29" t="n">
        <f aca="false">+P6-P10</f>
        <v>-40701</v>
      </c>
      <c r="Q11" s="29" t="n">
        <f aca="false">+Q6-Q10</f>
        <v>24534</v>
      </c>
      <c r="R11" s="29" t="n">
        <f aca="false">+R6-R10</f>
        <v>26006.04</v>
      </c>
      <c r="S11" s="29" t="n">
        <f aca="false">+S6-S10</f>
        <v>27566.4024</v>
      </c>
      <c r="T11" s="29" t="n">
        <f aca="false">+T6-T10</f>
        <v>29220.386544</v>
      </c>
      <c r="U11" s="29" t="n">
        <f aca="false">+U6-U10</f>
        <v>30973.60973664</v>
      </c>
      <c r="V11" s="29" t="n">
        <f aca="false">+V6-V10</f>
        <v>32832.0263208384</v>
      </c>
      <c r="W11" s="29" t="n">
        <f aca="false">+W6-W10</f>
        <v>34801.9479000887</v>
      </c>
      <c r="X11" s="29" t="n">
        <f aca="false">+X6-X10</f>
        <v>36890.064774094</v>
      </c>
      <c r="Y11" s="29" t="n">
        <f aca="false">+Y6-Y10</f>
        <v>39103.4686605396</v>
      </c>
      <c r="Z11" s="29" t="n">
        <f aca="false">+Z6-Z10</f>
        <v>41449.676780172</v>
      </c>
      <c r="AA11" s="29" t="n">
        <f aca="false">+AA6-AA10</f>
        <v>43936.6573869823</v>
      </c>
      <c r="AB11" s="29" t="n">
        <f aca="false">+AB6-AB10</f>
        <v>46572.8568302012</v>
      </c>
    </row>
    <row r="12" customFormat="false" ht="12.8" hidden="false" customHeight="false" outlineLevel="0" collapsed="false">
      <c r="A12" s="30" t="s">
        <v>40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2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customFormat="false" ht="12.8" hidden="false" customHeight="false" outlineLevel="0" collapsed="false">
      <c r="A13" s="0" t="s">
        <v>41</v>
      </c>
      <c r="B13" s="28" t="n">
        <v>47316</v>
      </c>
      <c r="C13" s="28" t="n">
        <f aca="false">4997+2437</f>
        <v>7434</v>
      </c>
      <c r="D13" s="28" t="n">
        <f aca="false">36993+1045-C13</f>
        <v>30604</v>
      </c>
      <c r="E13" s="23" t="n">
        <f aca="false">(42319+1433)-(D13+C13)</f>
        <v>5714</v>
      </c>
      <c r="F13" s="23" t="n">
        <f aca="false">(50106+2031)-(E13+D13+C13)</f>
        <v>8385</v>
      </c>
      <c r="G13" s="24" t="n">
        <f aca="false">SUM(C13:F13)</f>
        <v>52137</v>
      </c>
      <c r="H13" s="23" t="n">
        <v>5930</v>
      </c>
      <c r="I13" s="23" t="n">
        <f aca="false">13020-(H13)</f>
        <v>7090</v>
      </c>
      <c r="J13" s="23" t="n">
        <f aca="false">45653-(I13+H13)</f>
        <v>32633</v>
      </c>
      <c r="K13" s="23" t="n">
        <f aca="false">52881-(J13+I13+H13)</f>
        <v>7228</v>
      </c>
      <c r="L13" s="24" t="n">
        <f aca="false">SUM(H13:K13)</f>
        <v>52881</v>
      </c>
      <c r="M13" s="23" t="n">
        <v>343</v>
      </c>
      <c r="N13" s="20"/>
      <c r="O13" s="23" t="n">
        <f aca="false">B13</f>
        <v>47316</v>
      </c>
      <c r="P13" s="23" t="n">
        <f aca="false">G13</f>
        <v>52137</v>
      </c>
      <c r="Q13" s="23" t="n">
        <f aca="false">L13</f>
        <v>52881</v>
      </c>
      <c r="R13" s="23" t="n">
        <f aca="false">Q13*1.06</f>
        <v>56053.86</v>
      </c>
      <c r="S13" s="23" t="n">
        <f aca="false">R13*1.06</f>
        <v>59417.0916</v>
      </c>
      <c r="T13" s="23" t="n">
        <f aca="false">S13*1.06</f>
        <v>62982.117096</v>
      </c>
      <c r="U13" s="23" t="n">
        <f aca="false">T13*1.06</f>
        <v>66761.04412176</v>
      </c>
      <c r="V13" s="23" t="n">
        <f aca="false">U13*1.06</f>
        <v>70766.7067690656</v>
      </c>
      <c r="W13" s="23" t="n">
        <f aca="false">V13*1.06</f>
        <v>75012.7091752096</v>
      </c>
      <c r="X13" s="23" t="n">
        <f aca="false">W13*1.06</f>
        <v>79513.4717257222</v>
      </c>
      <c r="Y13" s="23" t="n">
        <f aca="false">X13*1.06</f>
        <v>84284.2800292655</v>
      </c>
      <c r="Z13" s="23" t="n">
        <f aca="false">Y13*1.06</f>
        <v>89341.3368310214</v>
      </c>
      <c r="AA13" s="23" t="n">
        <f aca="false">Z13*1.06</f>
        <v>94701.8170408827</v>
      </c>
      <c r="AB13" s="23" t="n">
        <f aca="false">AA13*1.06</f>
        <v>100383.926063336</v>
      </c>
    </row>
    <row r="14" customFormat="false" ht="12.8" hidden="false" customHeight="false" outlineLevel="0" collapsed="false">
      <c r="A14" s="0" t="s">
        <v>42</v>
      </c>
      <c r="B14" s="23" t="n">
        <v>356</v>
      </c>
      <c r="C14" s="23" t="n">
        <f aca="false">(128+92)</f>
        <v>220</v>
      </c>
      <c r="D14" s="23" t="n">
        <f aca="false">120-C14</f>
        <v>-100</v>
      </c>
      <c r="E14" s="23" t="n">
        <f aca="false">(189)-(D14+C14)</f>
        <v>69</v>
      </c>
      <c r="F14" s="23" t="n">
        <f aca="false">(251+167)-(E14+D14+C14)</f>
        <v>229</v>
      </c>
      <c r="G14" s="24" t="n">
        <f aca="false">SUM(C14:F14)</f>
        <v>418</v>
      </c>
      <c r="H14" s="23" t="n">
        <v>401</v>
      </c>
      <c r="I14" s="23" t="n">
        <f aca="false">455-(H14)</f>
        <v>54</v>
      </c>
      <c r="J14" s="23" t="n">
        <f aca="false">1301-(I14+H14)</f>
        <v>846</v>
      </c>
      <c r="K14" s="23" t="n">
        <f aca="false">1934-(J14+I14+H14)</f>
        <v>633</v>
      </c>
      <c r="L14" s="24" t="n">
        <f aca="false">SUM(H14:K14)</f>
        <v>1934</v>
      </c>
      <c r="M14" s="23" t="n">
        <v>147</v>
      </c>
      <c r="N14" s="20"/>
      <c r="O14" s="23" t="n">
        <f aca="false">B14</f>
        <v>356</v>
      </c>
      <c r="P14" s="23" t="n">
        <f aca="false">G14</f>
        <v>418</v>
      </c>
      <c r="Q14" s="23" t="n">
        <f aca="false">L14</f>
        <v>1934</v>
      </c>
      <c r="R14" s="23" t="n">
        <f aca="false">Q14*1.06</f>
        <v>2050.04</v>
      </c>
      <c r="S14" s="23" t="n">
        <f aca="false">R14*1.06</f>
        <v>2173.0424</v>
      </c>
      <c r="T14" s="23" t="n">
        <f aca="false">S14*1.06</f>
        <v>2303.424944</v>
      </c>
      <c r="U14" s="23" t="n">
        <f aca="false">T14*1.06</f>
        <v>2441.63044064</v>
      </c>
      <c r="V14" s="23" t="n">
        <f aca="false">U14*1.06</f>
        <v>2588.1282670784</v>
      </c>
      <c r="W14" s="23" t="n">
        <f aca="false">V14*1.06</f>
        <v>2743.4159631031</v>
      </c>
      <c r="X14" s="23" t="n">
        <f aca="false">W14*1.06</f>
        <v>2908.02092088929</v>
      </c>
      <c r="Y14" s="23" t="n">
        <f aca="false">X14*1.06</f>
        <v>3082.50217614265</v>
      </c>
      <c r="Z14" s="23" t="n">
        <f aca="false">Y14*1.06</f>
        <v>3267.45230671121</v>
      </c>
      <c r="AA14" s="23" t="n">
        <f aca="false">Z14*1.06</f>
        <v>3463.49944511388</v>
      </c>
      <c r="AB14" s="23" t="n">
        <f aca="false">AA14*1.06</f>
        <v>3671.30941182071</v>
      </c>
    </row>
    <row r="15" customFormat="false" ht="12.8" hidden="false" customHeight="false" outlineLevel="0" collapsed="false">
      <c r="A15" s="0" t="s">
        <v>43</v>
      </c>
      <c r="B15" s="25" t="n">
        <f aca="false">+B13-B14</f>
        <v>46960</v>
      </c>
      <c r="C15" s="25" t="n">
        <f aca="false">+C13-C14</f>
        <v>7214</v>
      </c>
      <c r="D15" s="25" t="n">
        <f aca="false">+D13-D14</f>
        <v>30704</v>
      </c>
      <c r="E15" s="25" t="n">
        <f aca="false">+E13-E14</f>
        <v>5645</v>
      </c>
      <c r="F15" s="25" t="n">
        <f aca="false">+F13-F14</f>
        <v>8156</v>
      </c>
      <c r="G15" s="26" t="n">
        <f aca="false">SUM(C15:F15)</f>
        <v>51719</v>
      </c>
      <c r="H15" s="25" t="n">
        <f aca="false">+H13-H14</f>
        <v>5529</v>
      </c>
      <c r="I15" s="25" t="n">
        <f aca="false">+I13-I14</f>
        <v>7036</v>
      </c>
      <c r="J15" s="25" t="n">
        <f aca="false">+J13-J14</f>
        <v>31787</v>
      </c>
      <c r="K15" s="25" t="n">
        <f aca="false">+K13-K14</f>
        <v>6595</v>
      </c>
      <c r="L15" s="26" t="n">
        <f aca="false">SUM(H15:K15)</f>
        <v>50947</v>
      </c>
      <c r="M15" s="25" t="n">
        <f aca="false">+M13-M14</f>
        <v>196</v>
      </c>
      <c r="N15" s="20"/>
      <c r="O15" s="25" t="n">
        <f aca="false">+O13-O14</f>
        <v>46960</v>
      </c>
      <c r="P15" s="25" t="n">
        <f aca="false">+P13-P14</f>
        <v>51719</v>
      </c>
      <c r="Q15" s="25" t="n">
        <f aca="false">+Q13-Q14</f>
        <v>50947</v>
      </c>
      <c r="R15" s="25" t="n">
        <f aca="false">+R13-R14</f>
        <v>54003.82</v>
      </c>
      <c r="S15" s="25" t="n">
        <f aca="false">+S13-S14</f>
        <v>57244.0492</v>
      </c>
      <c r="T15" s="25" t="n">
        <f aca="false">+T13-T14</f>
        <v>60678.692152</v>
      </c>
      <c r="U15" s="25" t="n">
        <f aca="false">+U13-U14</f>
        <v>64319.41368112</v>
      </c>
      <c r="V15" s="25" t="n">
        <f aca="false">+V13-V14</f>
        <v>68178.5785019872</v>
      </c>
      <c r="W15" s="25" t="n">
        <f aca="false">+W13-W14</f>
        <v>72269.2932121065</v>
      </c>
      <c r="X15" s="25" t="n">
        <f aca="false">+X13-X14</f>
        <v>76605.4508048329</v>
      </c>
      <c r="Y15" s="25" t="n">
        <f aca="false">+Y13-Y14</f>
        <v>81201.7778531228</v>
      </c>
      <c r="Z15" s="25" t="n">
        <f aca="false">+Z13-Z14</f>
        <v>86073.8845243102</v>
      </c>
      <c r="AA15" s="25" t="n">
        <f aca="false">+AA13-AA14</f>
        <v>91238.3175957688</v>
      </c>
      <c r="AB15" s="25" t="n">
        <f aca="false">+AB13-AB14</f>
        <v>96712.616651515</v>
      </c>
    </row>
    <row r="16" customFormat="false" ht="12.8" hidden="false" customHeight="false" outlineLevel="0" collapsed="false">
      <c r="A16" s="31" t="s">
        <v>44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0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customFormat="false" ht="12.8" hidden="false" customHeight="false" outlineLevel="0" collapsed="false">
      <c r="A17" s="0" t="s">
        <v>45</v>
      </c>
      <c r="B17" s="23" t="n">
        <v>5740</v>
      </c>
      <c r="C17" s="23" t="n">
        <v>599</v>
      </c>
      <c r="D17" s="23" t="n">
        <f aca="false">3028-C17</f>
        <v>2429</v>
      </c>
      <c r="E17" s="23" t="n">
        <f aca="false">5934-(D17+C17)</f>
        <v>2906</v>
      </c>
      <c r="F17" s="23" t="n">
        <f aca="false">(11515)-(E17+D17+C17)</f>
        <v>5581</v>
      </c>
      <c r="G17" s="24" t="n">
        <f aca="false">SUM(C17:F17)</f>
        <v>11515</v>
      </c>
      <c r="H17" s="23" t="n">
        <v>364</v>
      </c>
      <c r="I17" s="23" t="n">
        <f aca="false">5266-(H17)</f>
        <v>4902</v>
      </c>
      <c r="J17" s="23" t="n">
        <f aca="false">5645-(I17+H17)</f>
        <v>379</v>
      </c>
      <c r="K17" s="23" t="n">
        <f aca="false">6671-(J17+I17+H17)</f>
        <v>1026</v>
      </c>
      <c r="L17" s="24" t="n">
        <f aca="false">SUM(H17:K17)</f>
        <v>6671</v>
      </c>
      <c r="M17" s="23" t="n">
        <v>4858</v>
      </c>
      <c r="N17" s="20"/>
      <c r="O17" s="23" t="n">
        <f aca="false">B17</f>
        <v>5740</v>
      </c>
      <c r="P17" s="23" t="n">
        <f aca="false">G17</f>
        <v>11515</v>
      </c>
      <c r="Q17" s="23" t="n">
        <f aca="false">L17</f>
        <v>6671</v>
      </c>
      <c r="R17" s="23" t="n">
        <f aca="false">Q17*1.06</f>
        <v>7071.26</v>
      </c>
      <c r="S17" s="23" t="n">
        <f aca="false">R17*1.06</f>
        <v>7495.5356</v>
      </c>
      <c r="T17" s="23" t="n">
        <f aca="false">S17*1.06</f>
        <v>7945.267736</v>
      </c>
      <c r="U17" s="23" t="n">
        <f aca="false">T17*1.06</f>
        <v>8421.98380016</v>
      </c>
      <c r="V17" s="23" t="n">
        <f aca="false">U17*1.06</f>
        <v>8927.3028281696</v>
      </c>
      <c r="W17" s="23" t="n">
        <f aca="false">V17*1.06</f>
        <v>9462.94099785978</v>
      </c>
      <c r="X17" s="23" t="n">
        <f aca="false">W17*1.06</f>
        <v>10030.7174577314</v>
      </c>
      <c r="Y17" s="23" t="n">
        <f aca="false">X17*1.06</f>
        <v>10632.5605051953</v>
      </c>
      <c r="Z17" s="23" t="n">
        <f aca="false">Y17*1.06</f>
        <v>11270.514135507</v>
      </c>
      <c r="AA17" s="23" t="n">
        <f aca="false">Z17*1.06</f>
        <v>11946.7449836374</v>
      </c>
      <c r="AB17" s="23" t="n">
        <f aca="false">AA17*1.06</f>
        <v>12663.5496826556</v>
      </c>
    </row>
    <row r="18" customFormat="false" ht="12.8" hidden="false" customHeight="false" outlineLevel="0" collapsed="false">
      <c r="A18" s="0" t="s">
        <v>46</v>
      </c>
      <c r="B18" s="23" t="n">
        <v>570</v>
      </c>
      <c r="C18" s="23" t="n">
        <v>102</v>
      </c>
      <c r="D18" s="23" t="n">
        <f aca="false">103-C18</f>
        <v>1</v>
      </c>
      <c r="E18" s="23" t="n">
        <f aca="false">159-(D18+C18)</f>
        <v>56</v>
      </c>
      <c r="F18" s="23" t="n">
        <f aca="false">(249)-(E18+D18+C18)</f>
        <v>90</v>
      </c>
      <c r="G18" s="24" t="n">
        <f aca="false">SUM(C18:F18)</f>
        <v>249</v>
      </c>
      <c r="H18" s="23" t="n">
        <v>47</v>
      </c>
      <c r="I18" s="23" t="n">
        <f aca="false">421-(H18)</f>
        <v>374</v>
      </c>
      <c r="J18" s="23" t="n">
        <f aca="false">1839-(I18+H18)</f>
        <v>1418</v>
      </c>
      <c r="K18" s="23" t="n">
        <f aca="false">5886-(J18+I18+H18)</f>
        <v>4047</v>
      </c>
      <c r="L18" s="24" t="n">
        <f aca="false">SUM(H18:K18)</f>
        <v>5886</v>
      </c>
      <c r="M18" s="23" t="n">
        <v>897</v>
      </c>
      <c r="N18" s="20"/>
      <c r="O18" s="23" t="n">
        <f aca="false">B18</f>
        <v>570</v>
      </c>
      <c r="P18" s="23" t="n">
        <f aca="false">G18</f>
        <v>249</v>
      </c>
      <c r="Q18" s="23" t="n">
        <f aca="false">L18</f>
        <v>5886</v>
      </c>
      <c r="R18" s="23" t="n">
        <f aca="false">Q18*1.06</f>
        <v>6239.16</v>
      </c>
      <c r="S18" s="23" t="n">
        <f aca="false">R18*1.06</f>
        <v>6613.5096</v>
      </c>
      <c r="T18" s="23" t="n">
        <f aca="false">S18*1.06</f>
        <v>7010.320176</v>
      </c>
      <c r="U18" s="23" t="n">
        <f aca="false">T18*1.06</f>
        <v>7430.93938656</v>
      </c>
      <c r="V18" s="23" t="n">
        <f aca="false">U18*1.06</f>
        <v>7876.7957497536</v>
      </c>
      <c r="W18" s="23" t="n">
        <f aca="false">V18*1.06</f>
        <v>8349.40349473882</v>
      </c>
      <c r="X18" s="23" t="n">
        <f aca="false">W18*1.06</f>
        <v>8850.36770442315</v>
      </c>
      <c r="Y18" s="23" t="n">
        <f aca="false">X18*1.06</f>
        <v>9381.38976668854</v>
      </c>
      <c r="Z18" s="23" t="n">
        <f aca="false">Y18*1.06</f>
        <v>9944.27315268985</v>
      </c>
      <c r="AA18" s="23" t="n">
        <f aca="false">Z18*1.06</f>
        <v>10540.9295418512</v>
      </c>
      <c r="AB18" s="23" t="n">
        <f aca="false">AA18*1.06</f>
        <v>11173.3853143623</v>
      </c>
    </row>
    <row r="19" customFormat="false" ht="12.8" hidden="false" customHeight="false" outlineLevel="0" collapsed="false">
      <c r="A19" s="0" t="s">
        <v>47</v>
      </c>
      <c r="B19" s="25" t="n">
        <f aca="false">B17-B18</f>
        <v>5170</v>
      </c>
      <c r="C19" s="25" t="n">
        <f aca="false">C17-C18</f>
        <v>497</v>
      </c>
      <c r="D19" s="25" t="n">
        <f aca="false">+D17-D18</f>
        <v>2428</v>
      </c>
      <c r="E19" s="25" t="n">
        <f aca="false">+E17-E18</f>
        <v>2850</v>
      </c>
      <c r="F19" s="25" t="n">
        <f aca="false">+F17-F18</f>
        <v>5491</v>
      </c>
      <c r="G19" s="26" t="n">
        <f aca="false">SUM(C19:F19)</f>
        <v>11266</v>
      </c>
      <c r="H19" s="25" t="n">
        <f aca="false">+H17-H18</f>
        <v>317</v>
      </c>
      <c r="I19" s="25" t="n">
        <f aca="false">+I17-I18</f>
        <v>4528</v>
      </c>
      <c r="J19" s="25" t="n">
        <f aca="false">+J17-J18</f>
        <v>-1039</v>
      </c>
      <c r="K19" s="25" t="n">
        <f aca="false">+K17-K18</f>
        <v>-3021</v>
      </c>
      <c r="L19" s="26" t="n">
        <f aca="false">SUM(H19:K19)</f>
        <v>785</v>
      </c>
      <c r="M19" s="25" t="n">
        <f aca="false">+M17-M18</f>
        <v>3961</v>
      </c>
      <c r="N19" s="20"/>
      <c r="O19" s="25" t="n">
        <f aca="false">+O17-O18</f>
        <v>5170</v>
      </c>
      <c r="P19" s="25" t="n">
        <f aca="false">+P17-P18</f>
        <v>11266</v>
      </c>
      <c r="Q19" s="25" t="n">
        <f aca="false">+Q17-Q18</f>
        <v>785</v>
      </c>
      <c r="R19" s="25" t="n">
        <f aca="false">+R17-R18</f>
        <v>832.099999999999</v>
      </c>
      <c r="S19" s="25" t="n">
        <f aca="false">+S17-S18</f>
        <v>882.025999999999</v>
      </c>
      <c r="T19" s="25" t="n">
        <f aca="false">+T17-T18</f>
        <v>934.947559999999</v>
      </c>
      <c r="U19" s="25" t="n">
        <f aca="false">+U17-U18</f>
        <v>991.0444136</v>
      </c>
      <c r="V19" s="25" t="n">
        <f aca="false">+V17-V18</f>
        <v>1050.507078416</v>
      </c>
      <c r="W19" s="25" t="n">
        <f aca="false">+W17-W18</f>
        <v>1113.53750312096</v>
      </c>
      <c r="X19" s="25" t="n">
        <f aca="false">+X17-X18</f>
        <v>1180.34975330822</v>
      </c>
      <c r="Y19" s="25" t="n">
        <f aca="false">+Y17-Y18</f>
        <v>1251.17073850671</v>
      </c>
      <c r="Z19" s="25" t="n">
        <f aca="false">+Z17-Z18</f>
        <v>1326.24098281711</v>
      </c>
      <c r="AA19" s="25" t="n">
        <f aca="false">+AA17-AA18</f>
        <v>1405.81544178614</v>
      </c>
      <c r="AB19" s="25" t="n">
        <f aca="false">+AB17-AB18</f>
        <v>1490.16436829331</v>
      </c>
    </row>
    <row r="20" customFormat="false" ht="12.8" hidden="false" customHeight="false" outlineLevel="0" collapsed="false">
      <c r="A20" s="32" t="s">
        <v>48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2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customFormat="false" ht="12.8" hidden="false" customHeight="false" outlineLevel="0" collapsed="false">
      <c r="A21" s="0" t="s">
        <v>49</v>
      </c>
      <c r="B21" s="29" t="n">
        <f aca="false">+B11+B15+B19</f>
        <v>135886</v>
      </c>
      <c r="C21" s="29" t="n">
        <f aca="false">+C11+C15+C19</f>
        <v>-194</v>
      </c>
      <c r="D21" s="29" t="n">
        <f aca="false">+D11+D15+D19</f>
        <v>14870</v>
      </c>
      <c r="E21" s="29" t="n">
        <f aca="false">+E11+E15+E19</f>
        <v>4263</v>
      </c>
      <c r="F21" s="29" t="n">
        <f aca="false">+F11+F15+F19</f>
        <v>3345</v>
      </c>
      <c r="G21" s="33" t="n">
        <f aca="false">SUM(C21:F21)</f>
        <v>22284</v>
      </c>
      <c r="H21" s="29" t="n">
        <f aca="false">+H11+H15+H19</f>
        <v>3012</v>
      </c>
      <c r="I21" s="29" t="n">
        <f aca="false">+I11+I15+I19</f>
        <v>1203</v>
      </c>
      <c r="J21" s="29" t="n">
        <f aca="false">+J11+J15+J19</f>
        <v>43660</v>
      </c>
      <c r="K21" s="29" t="n">
        <f aca="false">+K11+K15+K19</f>
        <v>28391</v>
      </c>
      <c r="L21" s="33" t="n">
        <f aca="false">SUM(H21:K21)</f>
        <v>76266</v>
      </c>
      <c r="M21" s="29" t="n">
        <f aca="false">+M11+M15+M19</f>
        <v>8111</v>
      </c>
      <c r="N21" s="20"/>
      <c r="O21" s="29" t="n">
        <f aca="false">+O11+O15+O19</f>
        <v>135886</v>
      </c>
      <c r="P21" s="29" t="n">
        <f aca="false">+P11+P15+P19</f>
        <v>22284</v>
      </c>
      <c r="Q21" s="29" t="n">
        <f aca="false">+Q11+Q15+Q19</f>
        <v>76266</v>
      </c>
      <c r="R21" s="23" t="n">
        <f aca="false">Q21*1.06</f>
        <v>80841.96</v>
      </c>
      <c r="S21" s="23" t="n">
        <f aca="false">R21*1.06</f>
        <v>85692.4776</v>
      </c>
      <c r="T21" s="23" t="n">
        <f aca="false">S21*1.06</f>
        <v>90834.026256</v>
      </c>
      <c r="U21" s="23" t="n">
        <f aca="false">T21*1.06</f>
        <v>96284.06783136</v>
      </c>
      <c r="V21" s="23" t="n">
        <f aca="false">U21*1.06</f>
        <v>102061.111901242</v>
      </c>
      <c r="W21" s="23" t="n">
        <f aca="false">V21*1.06</f>
        <v>108184.778615316</v>
      </c>
      <c r="X21" s="23" t="n">
        <f aca="false">W21*1.06</f>
        <v>114675.865332235</v>
      </c>
      <c r="Y21" s="23" t="n">
        <f aca="false">X21*1.06</f>
        <v>121556.417252169</v>
      </c>
      <c r="Z21" s="23" t="n">
        <f aca="false">Y21*1.06</f>
        <v>128849.802287299</v>
      </c>
      <c r="AA21" s="23" t="n">
        <f aca="false">Z21*1.06</f>
        <v>136580.790424537</v>
      </c>
      <c r="AB21" s="23" t="n">
        <f aca="false">AA21*1.06</f>
        <v>144775.63785001</v>
      </c>
    </row>
    <row r="22" customFormat="false" ht="12.8" hidden="false" customHeight="false" outlineLevel="0" collapsed="false">
      <c r="A22" s="0" t="s">
        <v>50</v>
      </c>
      <c r="B22" s="23" t="n">
        <v>1127</v>
      </c>
      <c r="C22" s="23" t="n">
        <v>0</v>
      </c>
      <c r="D22" s="23" t="n">
        <f aca="false">0-C22</f>
        <v>0</v>
      </c>
      <c r="E22" s="23" t="n">
        <f aca="false">0-(D22+C22)</f>
        <v>0</v>
      </c>
      <c r="F22" s="23" t="n">
        <f aca="false">0-(E22+D22+C22)</f>
        <v>0</v>
      </c>
      <c r="G22" s="26" t="n">
        <f aca="false">SUM(C22:F22)</f>
        <v>0</v>
      </c>
      <c r="H22" s="23" t="n">
        <v>0</v>
      </c>
      <c r="I22" s="23" t="n">
        <f aca="false">0-H22</f>
        <v>0</v>
      </c>
      <c r="J22" s="23" t="n">
        <f aca="false">0-(I22+H22)</f>
        <v>0</v>
      </c>
      <c r="K22" s="23" t="n">
        <f aca="false">0-(J22+I22+H22)</f>
        <v>0</v>
      </c>
      <c r="L22" s="26" t="n">
        <f aca="false">SUM(H22:K22)</f>
        <v>0</v>
      </c>
      <c r="M22" s="23" t="n">
        <v>0</v>
      </c>
      <c r="N22" s="20"/>
      <c r="O22" s="23" t="n">
        <f aca="false">B22</f>
        <v>1127</v>
      </c>
      <c r="P22" s="23" t="n">
        <f aca="false">G22</f>
        <v>0</v>
      </c>
      <c r="Q22" s="23" t="n">
        <f aca="false">L22</f>
        <v>0</v>
      </c>
      <c r="R22" s="23" t="n">
        <f aca="false">Q22*1.02</f>
        <v>0</v>
      </c>
      <c r="S22" s="23" t="n">
        <f aca="false">R22*1.02</f>
        <v>0</v>
      </c>
      <c r="T22" s="23" t="n">
        <f aca="false">S22*1.02</f>
        <v>0</v>
      </c>
      <c r="U22" s="23" t="n">
        <f aca="false">T22*1.02</f>
        <v>0</v>
      </c>
      <c r="V22" s="23" t="n">
        <f aca="false">U22*1.02</f>
        <v>0</v>
      </c>
      <c r="W22" s="23" t="n">
        <f aca="false">V22*1.02</f>
        <v>0</v>
      </c>
      <c r="X22" s="23" t="n">
        <f aca="false">W22*1.02</f>
        <v>0</v>
      </c>
      <c r="Y22" s="23" t="n">
        <f aca="false">X22*1.02</f>
        <v>0</v>
      </c>
      <c r="Z22" s="23" t="n">
        <f aca="false">Y22*1.02</f>
        <v>0</v>
      </c>
      <c r="AA22" s="23" t="n">
        <f aca="false">Z22*1.02</f>
        <v>0</v>
      </c>
      <c r="AB22" s="23" t="n">
        <f aca="false">AA22*1.02</f>
        <v>0</v>
      </c>
    </row>
    <row r="23" customFormat="false" ht="12.8" hidden="false" customHeight="false" outlineLevel="0" collapsed="false">
      <c r="A23" s="0" t="s">
        <v>51</v>
      </c>
      <c r="B23" s="34" t="n">
        <f aca="false">+B21-B22</f>
        <v>134759</v>
      </c>
      <c r="C23" s="34" t="n">
        <f aca="false">+C21-C22</f>
        <v>-194</v>
      </c>
      <c r="D23" s="34" t="n">
        <f aca="false">+D21-D22</f>
        <v>14870</v>
      </c>
      <c r="E23" s="34" t="n">
        <f aca="false">+E21-E22</f>
        <v>4263</v>
      </c>
      <c r="F23" s="34" t="n">
        <f aca="false">+F21-F22</f>
        <v>3345</v>
      </c>
      <c r="G23" s="35" t="n">
        <f aca="false">SUM(C23:F23)</f>
        <v>22284</v>
      </c>
      <c r="H23" s="34" t="n">
        <f aca="false">+H21-H22</f>
        <v>3012</v>
      </c>
      <c r="I23" s="34" t="n">
        <f aca="false">+I21-I22</f>
        <v>1203</v>
      </c>
      <c r="J23" s="34" t="n">
        <f aca="false">+J21-J22</f>
        <v>43660</v>
      </c>
      <c r="K23" s="34" t="n">
        <f aca="false">+K21-K22</f>
        <v>28391</v>
      </c>
      <c r="L23" s="35" t="n">
        <f aca="false">SUM(H23:K23)</f>
        <v>76266</v>
      </c>
      <c r="M23" s="34" t="n">
        <f aca="false">+M21-M22</f>
        <v>8111</v>
      </c>
      <c r="N23" s="20"/>
      <c r="O23" s="34" t="n">
        <f aca="false">+O21-O22</f>
        <v>134759</v>
      </c>
      <c r="P23" s="34" t="n">
        <f aca="false">+P21-P22</f>
        <v>22284</v>
      </c>
      <c r="Q23" s="34" t="n">
        <f aca="false">+Q21-Q22</f>
        <v>76266</v>
      </c>
      <c r="R23" s="34" t="n">
        <f aca="false">+R21-R22*(1+C26)</f>
        <v>80841.96</v>
      </c>
      <c r="S23" s="34" t="n">
        <f aca="false">+S21-S22*(1+D26)</f>
        <v>85692.4776</v>
      </c>
      <c r="T23" s="34" t="n">
        <f aca="false">+T21-T22*(1+E26)</f>
        <v>90834.026256</v>
      </c>
      <c r="U23" s="34" t="n">
        <f aca="false">+U21-U22*(1+F26)</f>
        <v>96284.06783136</v>
      </c>
      <c r="V23" s="34" t="n">
        <f aca="false">+V21-V22*(1+G26)</f>
        <v>102061.111901242</v>
      </c>
      <c r="W23" s="34" t="n">
        <f aca="false">+W21-W22*(1+H26)</f>
        <v>108184.778615316</v>
      </c>
      <c r="X23" s="34" t="n">
        <f aca="false">+X21-X22*(1+I26)</f>
        <v>114675.865332235</v>
      </c>
      <c r="Y23" s="34" t="n">
        <f aca="false">+Y21-Y22*(1+J26)</f>
        <v>121556.417252169</v>
      </c>
      <c r="Z23" s="34" t="n">
        <f aca="false">+Z21-Z22*(1+K26)</f>
        <v>128849.802287299</v>
      </c>
      <c r="AA23" s="34" t="n">
        <f aca="false">+AA21-AA22*(1+L26)</f>
        <v>136580.790424537</v>
      </c>
      <c r="AB23" s="34" t="n">
        <f aca="false">+AB21-AB22*(1+M26)</f>
        <v>144775.63785001</v>
      </c>
    </row>
    <row r="24" customFormat="false" ht="12.8" hidden="false" customHeight="false" outlineLevel="0" collapsed="false">
      <c r="A24" s="5"/>
      <c r="B24" s="5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customFormat="false" ht="12.8" hidden="false" customHeight="false" outlineLevel="0" collapsed="false">
      <c r="A25" s="0" t="s">
        <v>52</v>
      </c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customFormat="false" ht="12.8" hidden="false" customHeight="false" outlineLevel="0" collapsed="false">
      <c r="A26" s="0" t="s">
        <v>53</v>
      </c>
      <c r="B26" s="39"/>
      <c r="C26" s="40" t="n">
        <v>0.02</v>
      </c>
      <c r="D26" s="40" t="n">
        <v>0.02</v>
      </c>
      <c r="E26" s="40" t="n">
        <v>0.02</v>
      </c>
      <c r="F26" s="40" t="n">
        <v>0.02</v>
      </c>
      <c r="G26" s="40" t="n">
        <v>0.02</v>
      </c>
      <c r="H26" s="40" t="n">
        <v>0.02</v>
      </c>
      <c r="I26" s="40" t="n">
        <v>0.02</v>
      </c>
      <c r="J26" s="40" t="n">
        <v>0.02</v>
      </c>
      <c r="K26" s="40" t="n">
        <v>0.02</v>
      </c>
      <c r="L26" s="40" t="n">
        <v>0.02</v>
      </c>
      <c r="M26" s="40" t="n">
        <v>0.02</v>
      </c>
      <c r="N26" s="40" t="n">
        <v>0.02</v>
      </c>
      <c r="O26" s="40" t="n">
        <v>0.02</v>
      </c>
      <c r="P26" s="40" t="n">
        <v>0.02</v>
      </c>
      <c r="Q26" s="40" t="n">
        <v>0.02</v>
      </c>
      <c r="R26" s="40" t="n">
        <v>0.02</v>
      </c>
      <c r="S26" s="40" t="n">
        <v>0.02</v>
      </c>
      <c r="T26" s="40" t="n">
        <v>0.02</v>
      </c>
      <c r="U26" s="40" t="n">
        <v>0.02</v>
      </c>
      <c r="V26" s="40" t="n">
        <v>0.02</v>
      </c>
      <c r="W26" s="40" t="n">
        <v>0.02</v>
      </c>
      <c r="X26" s="40" t="n">
        <v>0.02</v>
      </c>
      <c r="Y26" s="40" t="n">
        <v>0.02</v>
      </c>
      <c r="Z26" s="40" t="n">
        <v>0.02</v>
      </c>
      <c r="AA26" s="40" t="n">
        <v>0.02</v>
      </c>
      <c r="AB26" s="40" t="n">
        <v>0.02</v>
      </c>
    </row>
    <row r="27" customFormat="false" ht="12.8" hidden="false" customHeight="false" outlineLevel="0" collapsed="false">
      <c r="A27" s="0" t="s">
        <v>54</v>
      </c>
      <c r="B27" s="39"/>
      <c r="C27" s="41" t="n">
        <v>0.04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customFormat="false" ht="12.8" hidden="false" customHeight="false" outlineLevel="0" collapsed="false">
      <c r="B28" s="39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</row>
    <row r="29" customFormat="false" ht="12.8" hidden="false" customHeight="false" outlineLevel="0" collapsed="false">
      <c r="A29" s="0" t="s">
        <v>55</v>
      </c>
      <c r="B29" s="39"/>
      <c r="C29" s="16" t="n">
        <f aca="false">NPV(C27,R23:AB23)</f>
        <v>942207.166220602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customFormat="false" ht="12.8" hidden="false" customHeight="false" outlineLevel="0" collapsed="false">
      <c r="A30" s="0" t="s">
        <v>15</v>
      </c>
      <c r="B30" s="39"/>
      <c r="C30" s="16" t="n">
        <f aca="false">+Опис!E7</f>
        <v>24573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customFormat="false" ht="12.8" hidden="false" customHeight="false" outlineLevel="0" collapsed="false">
      <c r="A31" s="0" t="s">
        <v>56</v>
      </c>
      <c r="B31" s="39"/>
      <c r="C31" s="16" t="n">
        <f aca="false">C29+C30</f>
        <v>966780.166220602</v>
      </c>
    </row>
    <row r="32" customFormat="false" ht="12.8" hidden="false" customHeight="false" outlineLevel="0" collapsed="false">
      <c r="A32" s="0" t="s">
        <v>57</v>
      </c>
      <c r="B32" s="39"/>
      <c r="C32" s="16" t="n">
        <f aca="false">C31/Опис!E6</f>
        <v>2137.72599093107</v>
      </c>
    </row>
    <row r="33" customFormat="false" ht="12.8" hidden="false" customHeight="false" outlineLevel="0" collapsed="false">
      <c r="A33" s="0" t="s">
        <v>58</v>
      </c>
      <c r="B33" s="39"/>
      <c r="C33" s="13" t="n">
        <f aca="false">Опис!E5</f>
        <v>4700</v>
      </c>
    </row>
    <row r="34" customFormat="false" ht="12.8" hidden="false" customHeight="false" outlineLevel="0" collapsed="false">
      <c r="A34" s="0" t="s">
        <v>59</v>
      </c>
      <c r="B34" s="39"/>
      <c r="C34" s="43" t="n">
        <f aca="false">(E35/C33)-1</f>
        <v>-0.290342153022333</v>
      </c>
      <c r="D34" s="1" t="s">
        <v>60</v>
      </c>
      <c r="E34" s="1" t="s">
        <v>61</v>
      </c>
      <c r="F34" s="1" t="s">
        <v>62</v>
      </c>
    </row>
    <row r="35" customFormat="false" ht="12.8" hidden="false" customHeight="false" outlineLevel="0" collapsed="false">
      <c r="A35" s="0" t="s">
        <v>63</v>
      </c>
      <c r="B35" s="39"/>
      <c r="C35" s="44" t="n">
        <f aca="false">C32*1.015</f>
        <v>2169.79188079503</v>
      </c>
      <c r="D35" s="45" t="n">
        <f aca="false">C33*0.0248*10</f>
        <v>1165.6</v>
      </c>
      <c r="E35" s="45" t="n">
        <f aca="false">C35+D35</f>
        <v>3335.39188079503</v>
      </c>
    </row>
    <row r="36" customFormat="false" ht="12.8" hidden="false" customHeight="false" outlineLevel="0" collapsed="false">
      <c r="A36" s="0" t="s">
        <v>64</v>
      </c>
      <c r="B36" s="39"/>
      <c r="C36" s="44" t="n">
        <f aca="false">C32-C35</f>
        <v>-32.0658898639658</v>
      </c>
    </row>
    <row r="37" customFormat="false" ht="12.8" hidden="false" customHeight="false" outlineLevel="0" collapsed="false">
      <c r="B37" s="19" t="s">
        <v>65</v>
      </c>
      <c r="G37" s="19" t="s">
        <v>65</v>
      </c>
      <c r="L37" s="19" t="s">
        <v>65</v>
      </c>
    </row>
    <row r="38" customFormat="false" ht="12.8" hidden="false" customHeight="false" outlineLevel="0" collapsed="false">
      <c r="A38" s="0" t="s">
        <v>66</v>
      </c>
      <c r="B38" s="46" t="n">
        <f aca="false">B6/B4</f>
        <v>0.356836620909755</v>
      </c>
      <c r="C38" s="47" t="n">
        <f aca="false">C6/C4</f>
        <v>-0.103911753800519</v>
      </c>
      <c r="D38" s="47" t="n">
        <f aca="false">D6/D4</f>
        <v>-2.9461247637051</v>
      </c>
      <c r="E38" s="47" t="n">
        <f aca="false">E6/E4</f>
        <v>-0.142964587903479</v>
      </c>
      <c r="F38" s="47" t="n">
        <f aca="false">F6/F4</f>
        <v>-1.18707660239708</v>
      </c>
      <c r="G38" s="46" t="n">
        <f aca="false">G6/G4</f>
        <v>-0.516090753749763</v>
      </c>
      <c r="H38" s="47" t="n">
        <f aca="false">H6/H4</f>
        <v>-0.574622416534181</v>
      </c>
      <c r="I38" s="47" t="n">
        <f aca="false">I6/I4</f>
        <v>-0.0968531468531469</v>
      </c>
      <c r="J38" s="47" t="n">
        <f aca="false">J6/J4</f>
        <v>0.426213119376586</v>
      </c>
      <c r="K38" s="47" t="n">
        <f aca="false">K6/K4</f>
        <v>0.496342719480474</v>
      </c>
      <c r="L38" s="46" t="n">
        <f aca="false">L6/L4</f>
        <v>0.304522417785262</v>
      </c>
      <c r="M38" s="47" t="n">
        <f aca="false">M6/M4</f>
        <v>0.201573684498115</v>
      </c>
    </row>
    <row r="39" customFormat="false" ht="12.8" hidden="false" customHeight="false" outlineLevel="0" collapsed="false">
      <c r="A39" s="0" t="s">
        <v>67</v>
      </c>
      <c r="B39" s="46" t="n">
        <f aca="false">B11/B4</f>
        <v>0.268376462747209</v>
      </c>
      <c r="C39" s="47" t="n">
        <f aca="false">C11/C4</f>
        <v>-0.244252873563218</v>
      </c>
      <c r="D39" s="47" t="n">
        <f aca="false">D11/D4</f>
        <v>-3.45217391304348</v>
      </c>
      <c r="E39" s="47" t="n">
        <f aca="false">E11/E4</f>
        <v>-0.265246004387339</v>
      </c>
      <c r="F39" s="47" t="n">
        <f aca="false">F11/F4</f>
        <v>-1.07368421052632</v>
      </c>
      <c r="G39" s="46" t="n">
        <f aca="false">G11/G4</f>
        <v>-0.643962407442567</v>
      </c>
      <c r="H39" s="47" t="n">
        <f aca="false">H11/H4</f>
        <v>-0.281597774244833</v>
      </c>
      <c r="I39" s="47" t="n">
        <f aca="false">I11/I4</f>
        <v>-0.603787878787879</v>
      </c>
      <c r="J39" s="47" t="n">
        <f aca="false">J11/J4</f>
        <v>0.330983568737023</v>
      </c>
      <c r="K39" s="47" t="n">
        <f aca="false">K11/K4</f>
        <v>0.433234991184121</v>
      </c>
      <c r="L39" s="46" t="n">
        <f aca="false">L11/L4</f>
        <v>0.198626920772681</v>
      </c>
      <c r="M39" s="47" t="n">
        <f aca="false">M11/M4</f>
        <v>0.108026883776843</v>
      </c>
    </row>
    <row r="40" customFormat="false" ht="12.8" hidden="false" customHeight="false" outlineLevel="0" collapsed="false">
      <c r="A40" s="0" t="s">
        <v>68</v>
      </c>
      <c r="B40" s="46" t="n">
        <f aca="false">B23/B4</f>
        <v>0.431803616974917</v>
      </c>
      <c r="C40" s="47" t="n">
        <f aca="false">C23/C4</f>
        <v>-0.00599431467062168</v>
      </c>
      <c r="D40" s="47" t="n">
        <f aca="false">D23/D4</f>
        <v>2.8109640831758</v>
      </c>
      <c r="E40" s="47" t="n">
        <f aca="false">E23/E4</f>
        <v>0.267188968975243</v>
      </c>
      <c r="F40" s="47" t="n">
        <f aca="false">F23/F4</f>
        <v>0.348619072433559</v>
      </c>
      <c r="G40" s="46" t="n">
        <f aca="false">G23/G4</f>
        <v>0.35257262198595</v>
      </c>
      <c r="H40" s="47" t="n">
        <f aca="false">H23/H4</f>
        <v>0.299284578696343</v>
      </c>
      <c r="I40" s="47" t="n">
        <f aca="false">I23/I4</f>
        <v>0.0701048951048951</v>
      </c>
      <c r="J40" s="47" t="n">
        <f aca="false">J23/J4</f>
        <v>1.11917151572633</v>
      </c>
      <c r="K40" s="47" t="n">
        <f aca="false">K23/K4</f>
        <v>0.495626974844195</v>
      </c>
      <c r="L40" s="46" t="n">
        <f aca="false">L23/L4</f>
        <v>0.617448469049046</v>
      </c>
      <c r="M40" s="47" t="n">
        <f aca="false">M23/M4</f>
        <v>0.221599912573083</v>
      </c>
    </row>
    <row r="41" customFormat="false" ht="12.8" hidden="false" customHeight="false" outlineLevel="0" collapsed="false">
      <c r="A41" s="0" t="s">
        <v>69</v>
      </c>
      <c r="B41" s="46" t="n">
        <f aca="false">B22/B21</f>
        <v>0.00829371679201684</v>
      </c>
      <c r="C41" s="47" t="n">
        <f aca="false">C22/C21</f>
        <v>-0</v>
      </c>
      <c r="D41" s="47" t="n">
        <f aca="false">D22/D21</f>
        <v>0</v>
      </c>
      <c r="E41" s="47" t="n">
        <f aca="false">E22/E21</f>
        <v>0</v>
      </c>
      <c r="F41" s="47" t="n">
        <f aca="false">F22/F21</f>
        <v>0</v>
      </c>
      <c r="G41" s="46" t="n">
        <f aca="false">G22/G21</f>
        <v>0</v>
      </c>
      <c r="H41" s="47" t="n">
        <f aca="false">H22/H21</f>
        <v>0</v>
      </c>
      <c r="I41" s="47" t="n">
        <f aca="false">I22/I21</f>
        <v>0</v>
      </c>
      <c r="J41" s="47" t="n">
        <f aca="false">J22/J21</f>
        <v>0</v>
      </c>
      <c r="K41" s="47" t="n">
        <f aca="false">K22/K21</f>
        <v>0</v>
      </c>
      <c r="L41" s="46" t="n">
        <f aca="false">L22/L21</f>
        <v>0</v>
      </c>
      <c r="M41" s="47" t="n">
        <f aca="false">M22/M21</f>
        <v>0</v>
      </c>
    </row>
    <row r="42" customFormat="false" ht="12.8" hidden="false" customHeight="false" outlineLevel="0" collapsed="false">
      <c r="A42" s="48" t="s">
        <v>70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customFormat="false" ht="12.8" hidden="false" customHeight="false" outlineLevel="0" collapsed="false">
      <c r="A43" s="49"/>
      <c r="B43" s="19" t="s">
        <v>65</v>
      </c>
      <c r="C43" s="47"/>
      <c r="D43" s="47"/>
      <c r="E43" s="47"/>
      <c r="F43" s="47"/>
      <c r="G43" s="19" t="s">
        <v>65</v>
      </c>
      <c r="H43" s="47"/>
      <c r="I43" s="47"/>
      <c r="J43" s="47"/>
      <c r="K43" s="47"/>
      <c r="L43" s="19" t="s">
        <v>65</v>
      </c>
      <c r="M43" s="47"/>
    </row>
    <row r="44" customFormat="false" ht="12.8" hidden="false" customHeight="false" outlineLevel="0" collapsed="false">
      <c r="A44" s="50" t="s">
        <v>71</v>
      </c>
      <c r="B44" s="46" t="n">
        <f aca="false">B11/SUM(B11,B15,B19)</f>
        <v>0.616369603932708</v>
      </c>
      <c r="C44" s="51" t="n">
        <f aca="false">C11/SUM(C11,C15,C19)</f>
        <v>40.7474226804124</v>
      </c>
      <c r="D44" s="51" t="n">
        <f aca="false">D11/SUM(D11,D15,D19)</f>
        <v>-1.22811028917283</v>
      </c>
      <c r="E44" s="51" t="n">
        <f aca="false">E11/SUM(E11,E15,E19)</f>
        <v>-0.992728125733052</v>
      </c>
      <c r="F44" s="51" t="n">
        <f aca="false">F11/SUM(F11,F15,F19)</f>
        <v>-3.07982062780269</v>
      </c>
      <c r="G44" s="46" t="n">
        <f aca="false">G11/SUM(G11,G15,G19)</f>
        <v>-1.82646742057081</v>
      </c>
      <c r="H44" s="51" t="n">
        <f aca="false">H11/SUM(H11,H15,H19)</f>
        <v>-0.940903054448871</v>
      </c>
      <c r="I44" s="51" t="n">
        <f aca="false">I11/SUM(I11,I15,I19)</f>
        <v>-8.61263507896924</v>
      </c>
      <c r="J44" s="51" t="n">
        <f aca="false">J11/SUM(J11,J15,J19)</f>
        <v>0.295739807604214</v>
      </c>
      <c r="K44" s="51" t="n">
        <f aca="false">K11/SUM(K11,K15,K19)</f>
        <v>0.874115036455215</v>
      </c>
      <c r="L44" s="46" t="n">
        <f aca="false">L11/SUM(L11,L15,L19)</f>
        <v>0.321689874911494</v>
      </c>
      <c r="M44" s="51" t="n">
        <f aca="false">M11/SUM(M11,M15,M19)</f>
        <v>0.487486129946986</v>
      </c>
    </row>
    <row r="45" customFormat="false" ht="12.8" hidden="false" customHeight="false" outlineLevel="0" collapsed="false">
      <c r="A45" s="52" t="s">
        <v>72</v>
      </c>
      <c r="B45" s="46" t="n">
        <f aca="false">B15/SUM(B11,B15,B19)</f>
        <v>0.345583798183772</v>
      </c>
      <c r="C45" s="51" t="n">
        <f aca="false">C15/SUM(C11,C15,C19)</f>
        <v>-37.1855670103093</v>
      </c>
      <c r="D45" s="51" t="n">
        <f aca="false">D15/SUM(D11,D15,D19)</f>
        <v>2.06482851378615</v>
      </c>
      <c r="E45" s="51" t="n">
        <f aca="false">E15/SUM(E11,E15,E19)</f>
        <v>1.32418484635233</v>
      </c>
      <c r="F45" s="51" t="n">
        <f aca="false">F15/SUM(F11,F15,F19)</f>
        <v>2.43826606875934</v>
      </c>
      <c r="G45" s="46" t="n">
        <f aca="false">G15/SUM(G11,G15,G19)</f>
        <v>2.32090288996589</v>
      </c>
      <c r="H45" s="51" t="n">
        <f aca="false">H15/SUM(H11,H15,H19)</f>
        <v>1.83565737051793</v>
      </c>
      <c r="I45" s="51" t="n">
        <f aca="false">I15/SUM(I11,I15,I19)</f>
        <v>5.84871155444722</v>
      </c>
      <c r="J45" s="51" t="n">
        <f aca="false">J15/SUM(J11,J15,J19)</f>
        <v>0.728057718735685</v>
      </c>
      <c r="K45" s="51" t="n">
        <f aca="false">K15/SUM(K11,K15,K19)</f>
        <v>0.232291923496883</v>
      </c>
      <c r="L45" s="46" t="n">
        <f aca="false">L15/SUM(L11,L15,L19)</f>
        <v>0.668017202947578</v>
      </c>
      <c r="M45" s="51" t="n">
        <f aca="false">M15/SUM(M11,M15,M19)</f>
        <v>0.0241647145851313</v>
      </c>
    </row>
    <row r="46" customFormat="false" ht="12.8" hidden="false" customHeight="false" outlineLevel="0" collapsed="false">
      <c r="A46" s="53" t="s">
        <v>73</v>
      </c>
      <c r="B46" s="46" t="n">
        <f aca="false">B19/SUM(B11,B15,B19)</f>
        <v>0.03804659788352</v>
      </c>
      <c r="C46" s="51" t="n">
        <f aca="false">C19/SUM(C11,C15,C19)</f>
        <v>-2.56185567010309</v>
      </c>
      <c r="D46" s="51" t="n">
        <f aca="false">D19/SUM(D11,D15,D19)</f>
        <v>0.163281775386685</v>
      </c>
      <c r="E46" s="51" t="n">
        <f aca="false">E19/SUM(E11,E15,E19)</f>
        <v>0.668543279380718</v>
      </c>
      <c r="F46" s="51" t="n">
        <f aca="false">F19/SUM(F11,F15,F19)</f>
        <v>1.64155455904335</v>
      </c>
      <c r="G46" s="46" t="n">
        <f aca="false">G19/SUM(G11,G15,G19)</f>
        <v>0.505564530604918</v>
      </c>
      <c r="H46" s="51" t="n">
        <f aca="false">H19/SUM(H11,H15,H19)</f>
        <v>0.105245683930943</v>
      </c>
      <c r="I46" s="51" t="n">
        <f aca="false">I19/SUM(I11,I15,I19)</f>
        <v>3.76392352452203</v>
      </c>
      <c r="J46" s="51" t="n">
        <f aca="false">J19/SUM(J11,J15,J19)</f>
        <v>-0.0237975263398992</v>
      </c>
      <c r="K46" s="51" t="n">
        <f aca="false">K19/SUM(K11,K15,K19)</f>
        <v>-0.106406959952097</v>
      </c>
      <c r="L46" s="46" t="n">
        <f aca="false">L19/SUM(L11,L15,L19)</f>
        <v>0.0102929221409278</v>
      </c>
      <c r="M46" s="51" t="n">
        <f aca="false">M19/SUM(M11,M15,M19)</f>
        <v>0.488349155467883</v>
      </c>
    </row>
    <row r="47" customFormat="false" ht="12.8" hidden="false" customHeight="false" outlineLevel="0" collapsed="false">
      <c r="G47" s="42"/>
      <c r="L47" s="54"/>
    </row>
    <row r="48" customFormat="false" ht="12.8" hidden="false" customHeight="false" outlineLevel="0" collapsed="false">
      <c r="A48" s="0" t="s">
        <v>74</v>
      </c>
      <c r="F48" s="47"/>
      <c r="G48" s="46" t="n">
        <f aca="false">(G6-B6)/B6</f>
        <v>-1.29290697987662</v>
      </c>
      <c r="H48" s="47" t="n">
        <f aca="false">(H6-C6)/H6</f>
        <v>0.418467923223241</v>
      </c>
      <c r="I48" s="47" t="n">
        <f aca="false">(I6-D6)/I6</f>
        <v>-8.37725631768953</v>
      </c>
      <c r="J48" s="47" t="n">
        <f aca="false">(J6-E6)/J6</f>
        <v>1.13718650387923</v>
      </c>
      <c r="K48" s="47" t="n">
        <f aca="false">(K6-F6)/K6</f>
        <v>1.40060495216657</v>
      </c>
      <c r="L48" s="46" t="n">
        <f aca="false">(L6-G6)/L6</f>
        <v>1.86720370074972</v>
      </c>
      <c r="M48" s="47" t="n">
        <f aca="false">(M6-H6)/M6</f>
        <v>1.78381675250745</v>
      </c>
    </row>
    <row r="49" customFormat="false" ht="12.8" hidden="false" customHeight="false" outlineLevel="0" collapsed="false">
      <c r="A49" s="0" t="s">
        <v>75</v>
      </c>
      <c r="F49" s="47"/>
      <c r="G49" s="46" t="n">
        <f aca="false">(G5-B5)/B5</f>
        <v>-0.522606005350711</v>
      </c>
      <c r="H49" s="47" t="n">
        <f aca="false">(H5-C5)/H5</f>
        <v>-1.25449611913927</v>
      </c>
      <c r="I49" s="47" t="n">
        <f aca="false">(I5-D5)/I5</f>
        <v>-0.109074487302093</v>
      </c>
      <c r="J49" s="47" t="n">
        <f aca="false">(J5-E5)/J5</f>
        <v>0.185310936383131</v>
      </c>
      <c r="K49" s="47" t="n">
        <f aca="false">(K5-F5)/K5</f>
        <v>0.272642196111053</v>
      </c>
      <c r="L49" s="46" t="n">
        <f aca="false">(L5-G5)/L5</f>
        <v>-0.115466101694915</v>
      </c>
      <c r="M49" s="47" t="n">
        <f aca="false">(M5-H5)/M5</f>
        <v>0.457740213523132</v>
      </c>
    </row>
    <row r="50" customFormat="false" ht="12.8" hidden="false" customHeight="false" outlineLevel="0" collapsed="false">
      <c r="A50" s="0" t="s">
        <v>76</v>
      </c>
      <c r="F50" s="47"/>
      <c r="G50" s="46" t="n">
        <f aca="false">(G10-B10)/B10</f>
        <v>-0.70724816169812</v>
      </c>
      <c r="H50" s="47" t="n">
        <f aca="false">(H10-C10)/H10</f>
        <v>2.54018311291963</v>
      </c>
      <c r="I50" s="47" t="n">
        <f aca="false">(I10-D10)/I10</f>
        <v>0.692263478560754</v>
      </c>
      <c r="J50" s="47" t="n">
        <f aca="false">(J10-E10)/J10</f>
        <v>0.474831763122476</v>
      </c>
      <c r="K50" s="47" t="n">
        <f aca="false">(K10-F10)/K10</f>
        <v>1.30096818810512</v>
      </c>
      <c r="L50" s="46" t="n">
        <f aca="false">(L10-G10)/L10</f>
        <v>0.382110091743119</v>
      </c>
      <c r="M50" s="47" t="n">
        <f aca="false">(M10-H10)/M10</f>
        <v>1.86127336448598</v>
      </c>
    </row>
    <row r="51" customFormat="false" ht="12.8" hidden="false" customHeight="false" outlineLevel="0" collapsed="false">
      <c r="A51" s="0" t="s">
        <v>77</v>
      </c>
      <c r="F51" s="47"/>
      <c r="G51" s="46" t="n">
        <f aca="false">+G48-AVERAGE(G50,G49)</f>
        <v>-0.677979896352204</v>
      </c>
      <c r="H51" s="47" t="n">
        <f aca="false">+H48-AVERAGE(H50,H49)</f>
        <v>-0.224375573666942</v>
      </c>
      <c r="I51" s="47" t="n">
        <f aca="false">+I48-AVERAGE(I50,I49)</f>
        <v>-8.66885081331886</v>
      </c>
      <c r="J51" s="47" t="n">
        <f aca="false">+J48-AVERAGE(J50,J49)</f>
        <v>0.807115154126429</v>
      </c>
      <c r="K51" s="47" t="n">
        <f aca="false">+K48-AVERAGE(K50,K49)</f>
        <v>0.613799760058487</v>
      </c>
      <c r="L51" s="46" t="n">
        <f aca="false">+L48-AVERAGE(L50,L49)</f>
        <v>1.73388170572562</v>
      </c>
      <c r="M51" s="47" t="n">
        <f aca="false">+M48-AVERAGE(M50,M49)</f>
        <v>0.624309963502898</v>
      </c>
    </row>
    <row r="52" customFormat="false" ht="12.8" hidden="false" customHeight="false" outlineLevel="0" collapsed="false">
      <c r="A52" s="0" t="s">
        <v>78</v>
      </c>
      <c r="G52" s="46" t="n">
        <f aca="false">G23/B23</f>
        <v>0.165361868224015</v>
      </c>
      <c r="H52" s="47" t="n">
        <f aca="false">H23/C23</f>
        <v>-15.5257731958763</v>
      </c>
      <c r="I52" s="47" t="n">
        <f aca="false">I23/D23</f>
        <v>0.0809011432414257</v>
      </c>
      <c r="J52" s="47" t="n">
        <f aca="false">J23/E23</f>
        <v>10.2416138869341</v>
      </c>
      <c r="K52" s="47" t="n">
        <f aca="false">K23/F23</f>
        <v>8.48759342301943</v>
      </c>
      <c r="L52" s="46" t="n">
        <f aca="false">L23/G23</f>
        <v>3.42245557350565</v>
      </c>
      <c r="M52" s="47" t="n">
        <f aca="false">M23/H23</f>
        <v>2.69289508632138</v>
      </c>
    </row>
    <row r="53" customFormat="false" ht="12.8" hidden="false" customHeight="false" outlineLevel="0" collapsed="false">
      <c r="A53" s="55" t="s">
        <v>79</v>
      </c>
      <c r="B53" s="56" t="s">
        <v>79</v>
      </c>
      <c r="C53" s="56"/>
      <c r="D53" s="56"/>
    </row>
    <row r="54" customFormat="false" ht="12.8" hidden="false" customHeight="false" outlineLevel="0" collapsed="false">
      <c r="A54" s="49"/>
      <c r="B54" s="57" t="n">
        <v>2019</v>
      </c>
      <c r="C54" s="21" t="n">
        <v>2020</v>
      </c>
      <c r="D54" s="21" t="n">
        <v>2021</v>
      </c>
    </row>
    <row r="55" customFormat="false" ht="12.8" hidden="false" customHeight="false" outlineLevel="0" collapsed="false">
      <c r="A55" s="0" t="s">
        <v>80</v>
      </c>
      <c r="B55" s="58" t="n">
        <f aca="false">B23/Средства!B25</f>
        <v>0.0506731082707655</v>
      </c>
      <c r="C55" s="58" t="n">
        <f aca="false">G23/Средства!C25</f>
        <v>0.00879771300521017</v>
      </c>
      <c r="D55" s="58" t="n">
        <f aca="false">L23/Средства!D25</f>
        <v>0.0271277475532348</v>
      </c>
    </row>
    <row r="56" customFormat="false" ht="12.8" hidden="false" customHeight="false" outlineLevel="0" collapsed="false">
      <c r="A56" s="0" t="s">
        <v>81</v>
      </c>
      <c r="B56" s="58" t="n">
        <f aca="false">B23/Средства!G25</f>
        <v>0.0506731463797724</v>
      </c>
      <c r="C56" s="59" t="n">
        <f aca="false">G23/Средства!H25</f>
        <v>0.00879770605854952</v>
      </c>
      <c r="D56" s="59" t="n">
        <f aca="false">L23/Средства!I22</f>
        <v>0.0278771091233876</v>
      </c>
    </row>
    <row r="57" customFormat="false" ht="12.8" hidden="false" customHeight="false" outlineLevel="0" collapsed="false">
      <c r="A57" s="0" t="s">
        <v>82</v>
      </c>
      <c r="B57" s="58" t="n">
        <f aca="false">Опис!E5/B23</f>
        <v>0.0348770768557202</v>
      </c>
      <c r="C57" s="59" t="n">
        <f aca="false">Опис!E5/G23</f>
        <v>0.21091366002513</v>
      </c>
      <c r="D57" s="59" t="n">
        <f aca="false">Опис!E5/L23</f>
        <v>0.0616264128182939</v>
      </c>
    </row>
    <row r="58" customFormat="false" ht="12.8" hidden="false" customHeight="false" outlineLevel="0" collapsed="false">
      <c r="A58" s="0" t="s">
        <v>83</v>
      </c>
      <c r="B58" s="59" t="n">
        <f aca="false">Опис!E5/Средства!G25</f>
        <v>0.00176733122080848</v>
      </c>
      <c r="C58" s="59" t="n">
        <f aca="false">Опис!E5/Средства!H25</f>
        <v>0.00185555638463394</v>
      </c>
      <c r="D58" s="59" t="n">
        <f aca="false">Опис!E5/Средства!I25</f>
        <v>0.00167178755350609</v>
      </c>
    </row>
    <row r="60" customFormat="false" ht="12.8" hidden="false" customHeight="false" outlineLevel="0" collapsed="false">
      <c r="A60" s="60" t="s">
        <v>84</v>
      </c>
      <c r="B60" s="61" t="s">
        <v>84</v>
      </c>
      <c r="C60" s="61"/>
      <c r="D60" s="61"/>
    </row>
    <row r="61" customFormat="false" ht="12.8" hidden="false" customHeight="false" outlineLevel="0" collapsed="false">
      <c r="A61" s="0" t="s">
        <v>85</v>
      </c>
      <c r="B61" s="58" t="n">
        <f aca="false">Средства!G19/Средства!G25</f>
        <v>0.331171172797238</v>
      </c>
      <c r="C61" s="58" t="n">
        <f aca="false">Средства!H19/Средства!H25</f>
        <v>0.360656993295914</v>
      </c>
      <c r="D61" s="58" t="n">
        <f aca="false">Средства!I16/Средства!I22</f>
        <v>0.0276223383859817</v>
      </c>
    </row>
    <row r="62" customFormat="false" ht="12.8" hidden="false" customHeight="false" outlineLevel="0" collapsed="false">
      <c r="A62" s="0" t="s">
        <v>86</v>
      </c>
      <c r="B62" s="58" t="n">
        <f aca="false">Средства!G19/Средства!B25</f>
        <v>0.331170923738211</v>
      </c>
      <c r="C62" s="58" t="n">
        <f aca="false">Средства!H19/Средства!C25</f>
        <v>0.360657278070346</v>
      </c>
      <c r="D62" s="58" t="n">
        <f aca="false">Средства!I16/Средства!D25</f>
        <v>0.0268798252806021</v>
      </c>
    </row>
  </sheetData>
  <mergeCells count="7">
    <mergeCell ref="A3:M3"/>
    <mergeCell ref="A12:M12"/>
    <mergeCell ref="A16:M16"/>
    <mergeCell ref="A20:M20"/>
    <mergeCell ref="A42:M42"/>
    <mergeCell ref="B53:D53"/>
    <mergeCell ref="B60:D60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28" activeCellId="0" sqref="I2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3" width="11.54"/>
    <col collapsed="false" customWidth="true" hidden="false" outlineLevel="0" max="3" min="3" style="45" width="11.54"/>
    <col collapsed="false" customWidth="true" hidden="false" outlineLevel="0" max="4" min="4" style="23" width="11.54"/>
    <col collapsed="false" customWidth="true" hidden="false" outlineLevel="0" max="5" min="5" style="23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21</v>
      </c>
      <c r="B1" s="62"/>
      <c r="D1" s="62"/>
      <c r="E1" s="62"/>
      <c r="G1" s="0"/>
      <c r="H1" s="0"/>
      <c r="I1" s="0"/>
    </row>
    <row r="2" customFormat="false" ht="12.8" hidden="false" customHeight="false" outlineLevel="0" collapsed="false">
      <c r="A2" s="0" t="s">
        <v>87</v>
      </c>
      <c r="B2" s="62"/>
      <c r="D2" s="62"/>
      <c r="E2" s="62"/>
      <c r="G2" s="0"/>
      <c r="H2" s="0"/>
      <c r="I2" s="0"/>
    </row>
    <row r="3" customFormat="false" ht="12.8" hidden="false" customHeight="false" outlineLevel="0" collapsed="false">
      <c r="B3" s="63" t="n">
        <v>2019</v>
      </c>
      <c r="C3" s="64" t="n">
        <v>2020</v>
      </c>
      <c r="D3" s="63" t="n">
        <v>2021</v>
      </c>
      <c r="E3" s="65"/>
      <c r="G3" s="63" t="n">
        <v>2019</v>
      </c>
      <c r="H3" s="64" t="n">
        <v>2020</v>
      </c>
      <c r="I3" s="63" t="n">
        <v>2021</v>
      </c>
    </row>
    <row r="4" customFormat="false" ht="12.8" hidden="false" customHeight="false" outlineLevel="0" collapsed="false">
      <c r="A4" s="66" t="s">
        <v>88</v>
      </c>
      <c r="B4" s="66"/>
      <c r="C4" s="66"/>
      <c r="D4" s="66"/>
      <c r="E4" s="67"/>
      <c r="F4" s="68" t="s">
        <v>89</v>
      </c>
      <c r="G4" s="68"/>
      <c r="H4" s="68"/>
      <c r="I4" s="68"/>
    </row>
    <row r="5" customFormat="false" ht="12.8" hidden="false" customHeight="false" outlineLevel="0" collapsed="false">
      <c r="A5" s="0" t="s">
        <v>90</v>
      </c>
      <c r="B5" s="69" t="n">
        <v>11201</v>
      </c>
      <c r="C5" s="70" t="n">
        <v>10736</v>
      </c>
      <c r="D5" s="69" t="n">
        <v>30682</v>
      </c>
      <c r="E5" s="71"/>
      <c r="F5" s="0" t="s">
        <v>91</v>
      </c>
      <c r="G5" s="72" t="n">
        <v>32163</v>
      </c>
      <c r="H5" s="72" t="n">
        <v>11120</v>
      </c>
      <c r="I5" s="72" t="n">
        <v>42176</v>
      </c>
    </row>
    <row r="6" customFormat="false" ht="12.8" hidden="false" customHeight="false" outlineLevel="0" collapsed="false">
      <c r="A6" s="0" t="s">
        <v>92</v>
      </c>
      <c r="B6" s="69"/>
      <c r="C6" s="70"/>
      <c r="D6" s="69"/>
      <c r="E6" s="67"/>
      <c r="F6" s="0" t="s">
        <v>93</v>
      </c>
      <c r="G6" s="72" t="n">
        <v>1692</v>
      </c>
      <c r="H6" s="72" t="n">
        <v>143</v>
      </c>
      <c r="I6" s="72" t="n">
        <v>82</v>
      </c>
    </row>
    <row r="7" customFormat="false" ht="12.8" hidden="false" customHeight="false" outlineLevel="0" collapsed="false">
      <c r="A7" s="27" t="s">
        <v>94</v>
      </c>
      <c r="B7" s="23" t="n">
        <v>16715</v>
      </c>
      <c r="C7" s="45" t="n">
        <v>16999</v>
      </c>
      <c r="D7" s="23" t="n">
        <v>29090</v>
      </c>
      <c r="E7" s="67"/>
      <c r="F7" s="73" t="s">
        <v>95</v>
      </c>
      <c r="G7" s="72" t="n">
        <v>22602</v>
      </c>
      <c r="H7" s="72" t="n">
        <v>27865</v>
      </c>
      <c r="I7" s="72" t="n">
        <v>26277</v>
      </c>
    </row>
    <row r="8" customFormat="false" ht="12.8" hidden="false" customHeight="false" outlineLevel="0" collapsed="false">
      <c r="A8" s="0" t="s">
        <v>96</v>
      </c>
      <c r="B8" s="23" t="n">
        <v>18669</v>
      </c>
      <c r="C8" s="45" t="n">
        <v>28859</v>
      </c>
      <c r="D8" s="23" t="n">
        <v>20438</v>
      </c>
      <c r="E8" s="67"/>
      <c r="F8" s="0" t="s">
        <v>97</v>
      </c>
      <c r="G8" s="72" t="n">
        <v>4976</v>
      </c>
      <c r="H8" s="72" t="n">
        <v>7345</v>
      </c>
      <c r="I8" s="72" t="n">
        <v>7034</v>
      </c>
      <c r="J8" s="10"/>
    </row>
    <row r="9" customFormat="false" ht="12.8" hidden="false" customHeight="false" outlineLevel="0" collapsed="false">
      <c r="A9" s="0" t="s">
        <v>98</v>
      </c>
      <c r="B9" s="23" t="n">
        <v>1007311</v>
      </c>
      <c r="C9" s="45" t="n">
        <v>930131</v>
      </c>
      <c r="D9" s="23" t="n">
        <v>476092</v>
      </c>
      <c r="E9" s="67"/>
      <c r="F9" s="0" t="s">
        <v>89</v>
      </c>
      <c r="G9" s="74" t="n">
        <f aca="false">SUM(G5:G8)</f>
        <v>61433</v>
      </c>
      <c r="H9" s="74" t="n">
        <f aca="false">SUM(H5:H8)</f>
        <v>46473</v>
      </c>
      <c r="I9" s="74" t="n">
        <f aca="false">SUM(I5:I8)</f>
        <v>75569</v>
      </c>
    </row>
    <row r="10" customFormat="false" ht="12.8" hidden="false" customHeight="false" outlineLevel="0" collapsed="false">
      <c r="A10" s="0" t="s">
        <v>99</v>
      </c>
      <c r="B10" s="23" t="n">
        <v>19154</v>
      </c>
      <c r="C10" s="45" t="n">
        <v>15186</v>
      </c>
      <c r="D10" s="23" t="n">
        <v>15221</v>
      </c>
      <c r="E10" s="67"/>
      <c r="F10" s="75" t="s">
        <v>100</v>
      </c>
      <c r="G10" s="75"/>
      <c r="H10" s="75"/>
      <c r="I10" s="75"/>
    </row>
    <row r="11" customFormat="false" ht="12.8" hidden="false" customHeight="false" outlineLevel="0" collapsed="false">
      <c r="A11" s="0" t="s">
        <v>101</v>
      </c>
      <c r="B11" s="23" t="n">
        <v>3378</v>
      </c>
      <c r="C11" s="45" t="n">
        <v>3667</v>
      </c>
      <c r="D11" s="23" t="n">
        <v>2582</v>
      </c>
      <c r="E11" s="67"/>
      <c r="F11" s="0" t="s">
        <v>102</v>
      </c>
      <c r="G11" s="72" t="n">
        <v>0</v>
      </c>
      <c r="H11" s="72" t="n">
        <v>0</v>
      </c>
      <c r="I11" s="72" t="n">
        <v>0</v>
      </c>
    </row>
    <row r="12" customFormat="false" ht="12.8" hidden="false" customHeight="false" outlineLevel="0" collapsed="false">
      <c r="A12" s="0" t="s">
        <v>88</v>
      </c>
      <c r="B12" s="25" t="n">
        <f aca="false">SUM(B5:B11)</f>
        <v>1076428</v>
      </c>
      <c r="C12" s="25" t="n">
        <f aca="false">SUM(C5:C11)</f>
        <v>1005578</v>
      </c>
      <c r="D12" s="25" t="n">
        <f aca="false">SUM(D5:D11)</f>
        <v>574105</v>
      </c>
      <c r="E12" s="67"/>
      <c r="F12" s="0" t="s">
        <v>103</v>
      </c>
      <c r="G12" s="72"/>
      <c r="H12" s="72"/>
      <c r="I12" s="72"/>
    </row>
    <row r="13" customFormat="false" ht="12.8" hidden="false" customHeight="false" outlineLevel="0" collapsed="false">
      <c r="A13" s="76" t="s">
        <v>104</v>
      </c>
      <c r="B13" s="76"/>
      <c r="C13" s="76"/>
      <c r="D13" s="76"/>
      <c r="E13" s="77"/>
      <c r="F13" s="0" t="s">
        <v>105</v>
      </c>
      <c r="G13" s="72"/>
      <c r="H13" s="72"/>
      <c r="I13" s="72"/>
    </row>
    <row r="14" customFormat="false" ht="12.8" hidden="false" customHeight="false" outlineLevel="0" collapsed="false">
      <c r="A14" s="0" t="s">
        <v>106</v>
      </c>
      <c r="B14" s="23" t="n">
        <v>776447</v>
      </c>
      <c r="C14" s="45" t="n">
        <v>736190</v>
      </c>
      <c r="D14" s="23" t="n">
        <v>694664</v>
      </c>
      <c r="E14" s="67"/>
      <c r="F14" s="0" t="s">
        <v>107</v>
      </c>
      <c r="G14" s="74" t="n">
        <f aca="false">SUM(G11:G13)</f>
        <v>0</v>
      </c>
      <c r="H14" s="74" t="n">
        <f aca="false">SUM(H11:H13)</f>
        <v>0</v>
      </c>
      <c r="I14" s="74" t="n">
        <f aca="false">SUM(I11:I13)</f>
        <v>0</v>
      </c>
    </row>
    <row r="15" customFormat="false" ht="12.8" hidden="false" customHeight="false" outlineLevel="0" collapsed="false">
      <c r="A15" s="27" t="s">
        <v>108</v>
      </c>
      <c r="B15" s="23" t="n">
        <v>51290</v>
      </c>
      <c r="C15" s="45" t="n">
        <v>47539</v>
      </c>
      <c r="D15" s="23" t="n">
        <v>48720</v>
      </c>
      <c r="E15" s="67"/>
      <c r="G15" s="0"/>
      <c r="H15" s="0"/>
      <c r="I15" s="0"/>
    </row>
    <row r="16" customFormat="false" ht="12.8" hidden="false" customHeight="false" outlineLevel="0" collapsed="false">
      <c r="A16" s="0" t="s">
        <v>109</v>
      </c>
      <c r="B16" s="23" t="n">
        <v>2</v>
      </c>
      <c r="C16" s="45" t="n">
        <v>1</v>
      </c>
      <c r="D16" s="23" t="n">
        <v>0</v>
      </c>
      <c r="E16" s="67"/>
      <c r="F16" s="0" t="s">
        <v>110</v>
      </c>
      <c r="G16" s="72" t="n">
        <f aca="false">+G9+G14</f>
        <v>61433</v>
      </c>
      <c r="H16" s="72" t="n">
        <f aca="false">+H9+H14</f>
        <v>46473</v>
      </c>
      <c r="I16" s="72" t="n">
        <f aca="false">+I9+I14</f>
        <v>75569</v>
      </c>
    </row>
    <row r="17" customFormat="false" ht="12.8" hidden="false" customHeight="false" outlineLevel="0" collapsed="false">
      <c r="A17" s="0" t="s">
        <v>111</v>
      </c>
      <c r="B17" s="23" t="n">
        <v>0</v>
      </c>
      <c r="C17" s="45" t="n">
        <v>0</v>
      </c>
      <c r="D17" s="23" t="n">
        <v>0</v>
      </c>
      <c r="E17" s="67"/>
      <c r="G17" s="0"/>
      <c r="H17" s="0"/>
      <c r="I17" s="0"/>
    </row>
    <row r="18" customFormat="false" ht="12.8" hidden="false" customHeight="false" outlineLevel="0" collapsed="false">
      <c r="A18" s="0" t="s">
        <v>112</v>
      </c>
      <c r="B18" s="23" t="n">
        <v>301988</v>
      </c>
      <c r="C18" s="45" t="n">
        <v>150000</v>
      </c>
      <c r="D18" s="23" t="n">
        <v>285970</v>
      </c>
      <c r="E18" s="67"/>
      <c r="F18" s="78" t="s">
        <v>113</v>
      </c>
      <c r="G18" s="78"/>
      <c r="H18" s="78"/>
      <c r="I18" s="78"/>
    </row>
    <row r="19" customFormat="false" ht="12.8" hidden="false" customHeight="false" outlineLevel="0" collapsed="false">
      <c r="A19" s="0" t="s">
        <v>114</v>
      </c>
      <c r="B19" s="23" t="n">
        <v>499</v>
      </c>
      <c r="C19" s="45" t="n">
        <v>342</v>
      </c>
      <c r="D19" s="23" t="n">
        <v>200</v>
      </c>
      <c r="E19" s="67"/>
      <c r="F19" s="0" t="s">
        <v>115</v>
      </c>
      <c r="G19" s="72" t="n">
        <v>880709</v>
      </c>
      <c r="H19" s="72" t="n">
        <v>913520</v>
      </c>
      <c r="I19" s="72" t="n">
        <v>1128780</v>
      </c>
    </row>
    <row r="20" customFormat="false" ht="12.8" hidden="false" customHeight="false" outlineLevel="0" collapsed="false">
      <c r="A20" s="0" t="s">
        <v>116</v>
      </c>
      <c r="B20" s="23" t="n">
        <v>334680</v>
      </c>
      <c r="C20" s="45" t="n">
        <v>446716</v>
      </c>
      <c r="D20" s="23" t="n">
        <v>891690</v>
      </c>
      <c r="E20" s="67"/>
      <c r="F20" s="0" t="s">
        <v>117</v>
      </c>
      <c r="G20" s="72" t="n">
        <v>651424</v>
      </c>
      <c r="H20" s="72" t="n">
        <v>372329</v>
      </c>
      <c r="I20" s="72" t="n">
        <v>372329</v>
      </c>
    </row>
    <row r="21" customFormat="false" ht="12.8" hidden="false" customHeight="false" outlineLevel="0" collapsed="false">
      <c r="A21" s="0" t="s">
        <v>118</v>
      </c>
      <c r="B21" s="23" t="n">
        <v>100536</v>
      </c>
      <c r="C21" s="45" t="n">
        <v>97786</v>
      </c>
      <c r="D21" s="23" t="n">
        <v>94965</v>
      </c>
      <c r="E21" s="67"/>
      <c r="F21" s="0" t="s">
        <v>119</v>
      </c>
      <c r="G21" s="72" t="n">
        <v>1065811</v>
      </c>
      <c r="H21" s="72" t="n">
        <v>1200611</v>
      </c>
      <c r="I21" s="72" t="n">
        <v>1234684</v>
      </c>
    </row>
    <row r="22" customFormat="false" ht="12.8" hidden="false" customHeight="false" outlineLevel="0" collapsed="false">
      <c r="A22" s="27" t="s">
        <v>120</v>
      </c>
      <c r="B22" s="23" t="n">
        <v>17509</v>
      </c>
      <c r="C22" s="45" t="n">
        <v>48779</v>
      </c>
      <c r="D22" s="23" t="n">
        <v>221051</v>
      </c>
      <c r="E22" s="67"/>
      <c r="F22" s="0" t="s">
        <v>121</v>
      </c>
      <c r="G22" s="74" t="n">
        <f aca="false">SUM(G19:G21)</f>
        <v>2597944</v>
      </c>
      <c r="H22" s="74" t="n">
        <f aca="false">SUM(H19:H21)</f>
        <v>2486460</v>
      </c>
      <c r="I22" s="74" t="n">
        <f aca="false">SUM(I19:I21)</f>
        <v>2735793</v>
      </c>
    </row>
    <row r="23" customFormat="false" ht="12.8" hidden="false" customHeight="false" outlineLevel="0" collapsed="false">
      <c r="A23" s="0" t="s">
        <v>122</v>
      </c>
      <c r="B23" s="25" t="n">
        <f aca="false">SUM(B14:B22)</f>
        <v>1582951</v>
      </c>
      <c r="C23" s="25" t="n">
        <f aca="false">SUM(C14:C22)</f>
        <v>1527353</v>
      </c>
      <c r="D23" s="25" t="n">
        <f aca="false">SUM(D14:D22)</f>
        <v>2237260</v>
      </c>
      <c r="E23" s="67"/>
      <c r="G23" s="79"/>
      <c r="H23" s="79"/>
      <c r="I23" s="79"/>
    </row>
    <row r="24" customFormat="false" ht="12.8" hidden="false" customHeight="false" outlineLevel="0" collapsed="false">
      <c r="B24" s="62"/>
      <c r="D24" s="62"/>
      <c r="E24" s="67"/>
      <c r="G24" s="79"/>
      <c r="H24" s="79"/>
      <c r="I24" s="79"/>
    </row>
    <row r="25" customFormat="false" ht="12.8" hidden="false" customHeight="false" outlineLevel="0" collapsed="false">
      <c r="A25" s="0" t="s">
        <v>123</v>
      </c>
      <c r="B25" s="23" t="n">
        <f aca="false">B23+B12</f>
        <v>2659379</v>
      </c>
      <c r="C25" s="23" t="n">
        <f aca="false">C23+C12</f>
        <v>2532931</v>
      </c>
      <c r="D25" s="23" t="n">
        <f aca="false">D23+D12</f>
        <v>2811365</v>
      </c>
      <c r="E25" s="67"/>
      <c r="F25" s="0" t="s">
        <v>124</v>
      </c>
      <c r="G25" s="72" t="n">
        <f aca="false">G22+G16</f>
        <v>2659377</v>
      </c>
      <c r="H25" s="72" t="n">
        <f aca="false">H22+H16</f>
        <v>2532933</v>
      </c>
      <c r="I25" s="72" t="n">
        <f aca="false">I22+I16</f>
        <v>2811362</v>
      </c>
    </row>
    <row r="26" customFormat="false" ht="12.8" hidden="false" customHeight="false" outlineLevel="0" collapsed="false">
      <c r="B26" s="62"/>
      <c r="D26" s="62"/>
      <c r="E26" s="67"/>
    </row>
    <row r="27" customFormat="false" ht="12.8" hidden="false" customHeight="false" outlineLevel="0" collapsed="false">
      <c r="A27" s="0" t="s">
        <v>125</v>
      </c>
      <c r="B27" s="23" t="n">
        <f aca="false">+B5+B6+(B7*0.8)</f>
        <v>24573</v>
      </c>
      <c r="C27" s="23" t="n">
        <f aca="false">+C5+C6+(C7*0.8)</f>
        <v>24335.2</v>
      </c>
      <c r="D27" s="23" t="n">
        <f aca="false">+D5+D6+(D7*0.8)</f>
        <v>53954</v>
      </c>
      <c r="E27" s="67"/>
    </row>
    <row r="28" customFormat="false" ht="12.8" hidden="false" customHeight="false" outlineLevel="0" collapsed="false">
      <c r="B28" s="62"/>
      <c r="D28" s="62"/>
      <c r="E28" s="62"/>
    </row>
    <row r="29" customFormat="false" ht="12.8" hidden="false" customHeight="false" outlineLevel="0" collapsed="false">
      <c r="B29" s="62"/>
      <c r="D29" s="62"/>
      <c r="E29" s="62"/>
    </row>
    <row r="30" customFormat="false" ht="12.8" hidden="false" customHeight="false" outlineLevel="0" collapsed="false">
      <c r="B30" s="62"/>
      <c r="D30" s="62"/>
      <c r="E30" s="62"/>
    </row>
    <row r="31" customFormat="false" ht="12.8" hidden="false" customHeight="false" outlineLevel="0" collapsed="false">
      <c r="B31" s="62"/>
      <c r="D31" s="62"/>
      <c r="E31" s="62"/>
    </row>
    <row r="32" customFormat="false" ht="12.8" hidden="false" customHeight="false" outlineLevel="0" collapsed="false">
      <c r="B32" s="62"/>
      <c r="D32" s="62"/>
      <c r="E32" s="62"/>
    </row>
    <row r="33" customFormat="false" ht="12.8" hidden="false" customHeight="false" outlineLevel="0" collapsed="false">
      <c r="B33" s="62"/>
      <c r="D33" s="62"/>
      <c r="E33" s="62"/>
    </row>
    <row r="34" customFormat="false" ht="12.8" hidden="false" customHeight="false" outlineLevel="0" collapsed="false">
      <c r="B34" s="62"/>
      <c r="D34" s="62"/>
      <c r="E34" s="62"/>
    </row>
    <row r="35" customFormat="false" ht="12.8" hidden="false" customHeight="false" outlineLevel="0" collapsed="false">
      <c r="B35" s="62"/>
      <c r="D35" s="62"/>
      <c r="E35" s="62"/>
    </row>
    <row r="36" customFormat="false" ht="12.8" hidden="false" customHeight="false" outlineLevel="0" collapsed="false">
      <c r="B36" s="62"/>
      <c r="D36" s="62"/>
      <c r="E36" s="62"/>
    </row>
    <row r="37" customFormat="false" ht="12.8" hidden="false" customHeight="false" outlineLevel="0" collapsed="false">
      <c r="B37" s="62"/>
      <c r="D37" s="62"/>
      <c r="E37" s="62"/>
    </row>
    <row r="38" customFormat="false" ht="12.8" hidden="false" customHeight="false" outlineLevel="0" collapsed="false">
      <c r="B38" s="62"/>
      <c r="D38" s="62"/>
      <c r="E38" s="62"/>
    </row>
    <row r="39" customFormat="false" ht="12.8" hidden="false" customHeight="false" outlineLevel="0" collapsed="false">
      <c r="B39" s="62"/>
      <c r="D39" s="62"/>
      <c r="E39" s="62"/>
    </row>
    <row r="40" customFormat="false" ht="12.8" hidden="false" customHeight="false" outlineLevel="0" collapsed="false">
      <c r="B40" s="62"/>
      <c r="D40" s="62"/>
      <c r="E40" s="62"/>
    </row>
    <row r="41" customFormat="false" ht="12.8" hidden="false" customHeight="false" outlineLevel="0" collapsed="false">
      <c r="B41" s="62"/>
      <c r="D41" s="62"/>
      <c r="E41" s="62"/>
    </row>
    <row r="42" customFormat="false" ht="12.8" hidden="false" customHeight="false" outlineLevel="0" collapsed="false">
      <c r="B42" s="62"/>
      <c r="D42" s="62"/>
      <c r="E42" s="62"/>
    </row>
    <row r="43" customFormat="false" ht="12.8" hidden="false" customHeight="false" outlineLevel="0" collapsed="false">
      <c r="B43" s="62"/>
      <c r="D43" s="62"/>
      <c r="E43" s="62"/>
    </row>
    <row r="44" customFormat="false" ht="12.8" hidden="false" customHeight="false" outlineLevel="0" collapsed="false">
      <c r="B44" s="62"/>
      <c r="D44" s="62"/>
      <c r="E44" s="62"/>
    </row>
    <row r="45" customFormat="false" ht="12.8" hidden="false" customHeight="false" outlineLevel="0" collapsed="false">
      <c r="B45" s="62"/>
      <c r="D45" s="62"/>
      <c r="E45" s="62"/>
    </row>
    <row r="46" customFormat="false" ht="12.8" hidden="false" customHeight="false" outlineLevel="0" collapsed="false">
      <c r="B46" s="62"/>
      <c r="D46" s="62"/>
      <c r="E46" s="62"/>
    </row>
    <row r="47" customFormat="false" ht="12.8" hidden="false" customHeight="false" outlineLevel="0" collapsed="false">
      <c r="B47" s="62"/>
      <c r="D47" s="62"/>
      <c r="E47" s="62"/>
    </row>
    <row r="48" customFormat="false" ht="12.8" hidden="false" customHeight="false" outlineLevel="0" collapsed="false">
      <c r="B48" s="62"/>
      <c r="D48" s="62"/>
      <c r="E48" s="62"/>
    </row>
    <row r="49" customFormat="false" ht="12.8" hidden="false" customHeight="false" outlineLevel="0" collapsed="false">
      <c r="B49" s="62"/>
      <c r="D49" s="62"/>
      <c r="E49" s="62"/>
    </row>
    <row r="50" customFormat="false" ht="12.8" hidden="false" customHeight="false" outlineLevel="0" collapsed="false">
      <c r="B50" s="62"/>
      <c r="D50" s="62"/>
      <c r="E50" s="62"/>
    </row>
    <row r="51" customFormat="false" ht="12.8" hidden="false" customHeight="false" outlineLevel="0" collapsed="false">
      <c r="B51" s="62"/>
      <c r="D51" s="62"/>
      <c r="E51" s="62"/>
    </row>
    <row r="52" customFormat="false" ht="12.8" hidden="false" customHeight="false" outlineLevel="0" collapsed="false">
      <c r="B52" s="62"/>
      <c r="D52" s="62"/>
      <c r="E52" s="62"/>
    </row>
  </sheetData>
  <mergeCells count="8">
    <mergeCell ref="A4:D4"/>
    <mergeCell ref="F4:I4"/>
    <mergeCell ref="B5:B6"/>
    <mergeCell ref="C5:C6"/>
    <mergeCell ref="D5:D6"/>
    <mergeCell ref="F10:I10"/>
    <mergeCell ref="A13:D13"/>
    <mergeCell ref="F18:I18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1" width="11.54"/>
    <col collapsed="false" customWidth="true" hidden="false" outlineLevel="0" max="4" min="3" style="45" width="11.54"/>
    <col collapsed="false" customWidth="true" hidden="false" outlineLevel="0" max="5" min="5" style="43" width="9.63"/>
    <col collapsed="false" customWidth="true" hidden="false" outlineLevel="0" max="6" min="6" style="45" width="11.52"/>
    <col collapsed="false" customWidth="true" hidden="false" outlineLevel="0" max="7" min="7" style="47" width="10.19"/>
    <col collapsed="false" customWidth="true" hidden="false" outlineLevel="0" max="8" min="8" style="0" width="9.17"/>
    <col collapsed="false" customWidth="true" hidden="false" outlineLevel="0" max="9" min="9" style="0" width="20.01"/>
    <col collapsed="false" customWidth="true" hidden="false" outlineLevel="0" max="10" min="10" style="0" width="15.68"/>
    <col collapsed="false" customWidth="true" hidden="false" outlineLevel="0" max="11" min="11" style="0" width="3.74"/>
    <col collapsed="false" customWidth="true" hidden="false" outlineLevel="0" max="14" min="12" style="1" width="11.52"/>
  </cols>
  <sheetData>
    <row r="1" customFormat="false" ht="12.8" hidden="false" customHeight="false" outlineLevel="0" collapsed="false">
      <c r="A1" s="2" t="s">
        <v>21</v>
      </c>
    </row>
    <row r="2" customFormat="false" ht="12.8" hidden="false" customHeight="false" outlineLevel="0" collapsed="false">
      <c r="A2" s="0" t="s">
        <v>126</v>
      </c>
      <c r="B2" s="1" t="s">
        <v>127</v>
      </c>
      <c r="C2" s="80" t="n">
        <v>2021</v>
      </c>
      <c r="D2" s="81" t="n">
        <v>2020</v>
      </c>
      <c r="E2" s="47" t="s">
        <v>128</v>
      </c>
      <c r="F2" s="19" t="n">
        <v>2019</v>
      </c>
      <c r="G2" s="47" t="s">
        <v>128</v>
      </c>
    </row>
    <row r="3" customFormat="false" ht="12.8" hidden="false" customHeight="false" outlineLevel="0" collapsed="false">
      <c r="A3" s="82" t="s">
        <v>31</v>
      </c>
      <c r="B3" s="82"/>
      <c r="C3" s="82"/>
      <c r="D3" s="82"/>
      <c r="E3" s="82"/>
      <c r="F3" s="82"/>
      <c r="G3" s="82"/>
      <c r="I3" s="83" t="s">
        <v>129</v>
      </c>
      <c r="J3" s="83"/>
      <c r="K3" s="83"/>
      <c r="L3" s="18" t="s">
        <v>130</v>
      </c>
      <c r="M3" s="18" t="s">
        <v>131</v>
      </c>
      <c r="N3" s="84" t="s">
        <v>132</v>
      </c>
    </row>
    <row r="4" customFormat="false" ht="12.8" hidden="false" customHeight="false" outlineLevel="0" collapsed="false">
      <c r="A4" s="0" t="s">
        <v>133</v>
      </c>
      <c r="B4" s="1" t="str">
        <f aca="false">IF(C4&gt;0,"+","-")</f>
        <v>+</v>
      </c>
      <c r="C4" s="85" t="n">
        <v>21993</v>
      </c>
      <c r="D4" s="23" t="n">
        <v>-35396</v>
      </c>
      <c r="E4" s="43" t="n">
        <f aca="false">(+C4/D4)-1</f>
        <v>-1.62134139450785</v>
      </c>
      <c r="F4" s="23" t="n">
        <v>106108</v>
      </c>
      <c r="G4" s="43" t="n">
        <f aca="false">(+D4/F4)-1</f>
        <v>-1.33358464960229</v>
      </c>
      <c r="I4" s="86"/>
      <c r="J4" s="86"/>
      <c r="K4" s="86"/>
      <c r="L4" s="38"/>
      <c r="M4" s="38"/>
      <c r="N4" s="87"/>
    </row>
    <row r="5" customFormat="false" ht="12.8" hidden="false" customHeight="false" outlineLevel="0" collapsed="false">
      <c r="A5" s="88"/>
      <c r="B5" s="89"/>
      <c r="C5" s="90"/>
      <c r="D5" s="90"/>
      <c r="E5" s="91"/>
      <c r="F5" s="90"/>
      <c r="G5" s="91"/>
      <c r="I5" s="86"/>
      <c r="J5" s="86"/>
      <c r="K5" s="86"/>
      <c r="L5" s="38"/>
      <c r="M5" s="38"/>
      <c r="N5" s="87"/>
    </row>
    <row r="6" customFormat="false" ht="12.8" hidden="false" customHeight="false" outlineLevel="0" collapsed="false">
      <c r="A6" s="0" t="s">
        <v>134</v>
      </c>
      <c r="B6" s="1" t="str">
        <f aca="false">IF(C6&gt;0,"+","-")</f>
        <v>+</v>
      </c>
      <c r="C6" s="23" t="n">
        <v>52466</v>
      </c>
      <c r="D6" s="23" t="n">
        <v>54320</v>
      </c>
      <c r="E6" s="43" t="n">
        <f aca="false">(+C6/D6)-1</f>
        <v>-0.0341310751104565</v>
      </c>
      <c r="F6" s="23" t="n">
        <v>55601</v>
      </c>
      <c r="G6" s="43" t="n">
        <f aca="false">(+D6/F6)-1</f>
        <v>-0.0230391539720508</v>
      </c>
      <c r="I6" s="86"/>
      <c r="J6" s="86"/>
      <c r="K6" s="86"/>
      <c r="L6" s="38"/>
      <c r="M6" s="38"/>
      <c r="N6" s="87"/>
    </row>
    <row r="7" customFormat="false" ht="12.8" hidden="false" customHeight="false" outlineLevel="0" collapsed="false">
      <c r="A7" s="0" t="s">
        <v>135</v>
      </c>
      <c r="B7" s="1" t="str">
        <f aca="false">IF(C7&gt;0,"+","-")</f>
        <v>-</v>
      </c>
      <c r="C7" s="23" t="n">
        <v>-35</v>
      </c>
      <c r="D7" s="23" t="n">
        <v>3968</v>
      </c>
      <c r="E7" s="43" t="n">
        <f aca="false">(+C7/D7)-1</f>
        <v>-1.00882056451613</v>
      </c>
      <c r="F7" s="23" t="n">
        <v>2216</v>
      </c>
      <c r="G7" s="43" t="n">
        <f aca="false">(+D7/F7)-1</f>
        <v>0.790613718411552</v>
      </c>
      <c r="I7" s="86"/>
      <c r="J7" s="86"/>
      <c r="K7" s="86"/>
      <c r="L7" s="38"/>
      <c r="M7" s="38"/>
      <c r="N7" s="87"/>
    </row>
    <row r="8" customFormat="false" ht="12.8" hidden="false" customHeight="false" outlineLevel="0" collapsed="false">
      <c r="A8" s="0" t="s">
        <v>136</v>
      </c>
      <c r="B8" s="1" t="str">
        <f aca="false">IF(C8&gt;0,"+","-")</f>
        <v>-</v>
      </c>
      <c r="C8" s="23" t="n">
        <v>-12091</v>
      </c>
      <c r="D8" s="23" t="n">
        <v>-284</v>
      </c>
      <c r="E8" s="43" t="n">
        <f aca="false">(+C8/D8)-1</f>
        <v>41.5739436619718</v>
      </c>
      <c r="F8" s="23" t="n">
        <v>7737</v>
      </c>
      <c r="G8" s="43" t="n">
        <f aca="false">(+D8/F8)-1</f>
        <v>-1.03670673387618</v>
      </c>
      <c r="I8" s="86"/>
      <c r="J8" s="86"/>
      <c r="K8" s="86"/>
      <c r="L8" s="38"/>
      <c r="M8" s="38"/>
      <c r="N8" s="87"/>
    </row>
    <row r="9" customFormat="false" ht="12.8" hidden="false" customHeight="false" outlineLevel="0" collapsed="false">
      <c r="A9" s="0" t="s">
        <v>137</v>
      </c>
      <c r="B9" s="1" t="str">
        <f aca="false">IF(C9&gt;0,"+","-")</f>
        <v>+</v>
      </c>
      <c r="C9" s="23" t="n">
        <v>8340</v>
      </c>
      <c r="D9" s="23" t="n">
        <v>-9797</v>
      </c>
      <c r="E9" s="43" t="n">
        <f aca="false">(+C9/D9)-1</f>
        <v>-1.8512810043891</v>
      </c>
      <c r="F9" s="23" t="n">
        <v>76374</v>
      </c>
      <c r="G9" s="43" t="n">
        <f aca="false">(+D9/F9)-1</f>
        <v>-1.12827663864666</v>
      </c>
    </row>
    <row r="10" customFormat="false" ht="12.8" hidden="false" customHeight="false" outlineLevel="0" collapsed="false">
      <c r="A10" s="0" t="s">
        <v>138</v>
      </c>
      <c r="B10" s="1" t="str">
        <f aca="false">IF(C10&gt;0,"+","-")</f>
        <v>+</v>
      </c>
      <c r="C10" s="23" t="n">
        <v>454119</v>
      </c>
      <c r="D10" s="23" t="n">
        <v>76787</v>
      </c>
      <c r="E10" s="43" t="n">
        <f aca="false">(+C10/D10)-1</f>
        <v>4.91400888171175</v>
      </c>
      <c r="F10" s="23" t="n">
        <v>-50987</v>
      </c>
      <c r="G10" s="43" t="n">
        <f aca="false">(+D10/F10)-1</f>
        <v>-2.50601133622296</v>
      </c>
      <c r="I10" s="0" t="s">
        <v>139</v>
      </c>
    </row>
    <row r="11" customFormat="false" ht="12.8" hidden="false" customHeight="false" outlineLevel="0" collapsed="false">
      <c r="A11" s="0" t="s">
        <v>101</v>
      </c>
      <c r="B11" s="1" t="str">
        <f aca="false">IF(C11&gt;0,"+","-")</f>
        <v>+</v>
      </c>
      <c r="C11" s="23" t="n">
        <v>1085</v>
      </c>
      <c r="D11" s="23" t="n">
        <v>-289</v>
      </c>
      <c r="E11" s="43" t="n">
        <f aca="false">(+C11/D11)-1</f>
        <v>-4.75432525951557</v>
      </c>
      <c r="F11" s="23" t="n">
        <v>-184</v>
      </c>
      <c r="G11" s="43" t="n">
        <f aca="false">(+D11/F11)-1</f>
        <v>0.570652173913043</v>
      </c>
      <c r="I11" s="0" t="s">
        <v>86</v>
      </c>
    </row>
    <row r="12" customFormat="false" ht="12.8" hidden="false" customHeight="false" outlineLevel="0" collapsed="false">
      <c r="A12" s="92"/>
      <c r="B12" s="93"/>
      <c r="C12" s="94"/>
      <c r="D12" s="94"/>
      <c r="E12" s="95"/>
      <c r="F12" s="94"/>
      <c r="G12" s="96"/>
      <c r="I12" s="0" t="s">
        <v>140</v>
      </c>
    </row>
    <row r="13" customFormat="false" ht="12.8" hidden="false" customHeight="false" outlineLevel="0" collapsed="false">
      <c r="A13" s="0" t="s">
        <v>141</v>
      </c>
      <c r="B13" s="1" t="str">
        <f aca="false">IF(C13&gt;0,"+","-")</f>
        <v>+</v>
      </c>
      <c r="C13" s="23" t="n">
        <v>31056</v>
      </c>
      <c r="D13" s="23" t="n">
        <v>-21043</v>
      </c>
      <c r="E13" s="43" t="n">
        <f aca="false">(+C13/D13)-1</f>
        <v>-2.47583519460153</v>
      </c>
      <c r="F13" s="23" t="n">
        <v>19475</v>
      </c>
      <c r="G13" s="43" t="n">
        <f aca="false">(+D13/F13)-1</f>
        <v>-2.080513478819</v>
      </c>
    </row>
    <row r="14" customFormat="false" ht="12.8" hidden="false" customHeight="false" outlineLevel="0" collapsed="false">
      <c r="A14" s="0" t="s">
        <v>142</v>
      </c>
      <c r="B14" s="1" t="str">
        <f aca="false">IF(C14&gt;0,"+","-")</f>
        <v>-</v>
      </c>
      <c r="C14" s="23" t="n">
        <v>-456</v>
      </c>
      <c r="D14" s="23" t="n">
        <v>-958</v>
      </c>
      <c r="E14" s="43" t="n">
        <f aca="false">(+C14/D14)-1</f>
        <v>-0.524008350730689</v>
      </c>
      <c r="F14" s="23" t="n">
        <v>588</v>
      </c>
      <c r="G14" s="43" t="n">
        <f aca="false">(+D14/F14)-1</f>
        <v>-2.62925170068027</v>
      </c>
      <c r="I14" s="0" t="s">
        <v>143</v>
      </c>
    </row>
    <row r="15" customFormat="false" ht="12.8" hidden="false" customHeight="false" outlineLevel="0" collapsed="false">
      <c r="A15" s="0" t="s">
        <v>144</v>
      </c>
      <c r="B15" s="1" t="str">
        <f aca="false">IF(C15&gt;0,"+","-")</f>
        <v>-</v>
      </c>
      <c r="C15" s="23" t="n">
        <v>-38365</v>
      </c>
      <c r="D15" s="23" t="n">
        <v>-32641</v>
      </c>
      <c r="E15" s="43" t="n">
        <f aca="false">(+C15/D15)-1</f>
        <v>0.175362274440121</v>
      </c>
      <c r="F15" s="23" t="n">
        <v>100904</v>
      </c>
      <c r="G15" s="43" t="n">
        <f aca="false">(+D15/F15)-1</f>
        <v>-1.32348568936811</v>
      </c>
    </row>
    <row r="16" customFormat="false" ht="12.8" hidden="false" customHeight="false" outlineLevel="0" collapsed="false">
      <c r="A16" s="0" t="s">
        <v>97</v>
      </c>
      <c r="B16" s="1" t="str">
        <f aca="false">IF(C16&gt;0,"+","-")</f>
        <v>-</v>
      </c>
      <c r="C16" s="23" t="n">
        <v>-311</v>
      </c>
      <c r="D16" s="23" t="n">
        <v>2369</v>
      </c>
      <c r="E16" s="43" t="n">
        <f aca="false">(+C16/D16)-1</f>
        <v>-1.13127902068383</v>
      </c>
      <c r="F16" s="23" t="n">
        <v>-322</v>
      </c>
      <c r="G16" s="43" t="n">
        <f aca="false">(+D16/F16)-1</f>
        <v>-8.35714285714286</v>
      </c>
      <c r="L16" s="0"/>
      <c r="M16" s="0"/>
      <c r="N16" s="0"/>
    </row>
    <row r="17" customFormat="false" ht="12.8" hidden="false" customHeight="false" outlineLevel="0" collapsed="false">
      <c r="A17" s="0" t="s">
        <v>145</v>
      </c>
      <c r="B17" s="1" t="str">
        <f aca="false">IF(C17&gt;0,"+","-")</f>
        <v>-</v>
      </c>
      <c r="C17" s="23" t="n">
        <v>-21612</v>
      </c>
      <c r="D17" s="23" t="n">
        <v>-22465</v>
      </c>
      <c r="E17" s="43" t="n">
        <f aca="false">(+C17/D17)-1</f>
        <v>-0.0379701758290675</v>
      </c>
      <c r="F17" s="23" t="n">
        <v>-24482</v>
      </c>
      <c r="G17" s="43" t="n">
        <f aca="false">(+D17/F17)-1</f>
        <v>-0.0823870598807287</v>
      </c>
      <c r="L17" s="0"/>
      <c r="M17" s="0"/>
      <c r="N17" s="0"/>
    </row>
    <row r="18" customFormat="false" ht="12.8" hidden="false" customHeight="false" outlineLevel="0" collapsed="false">
      <c r="A18" s="97"/>
      <c r="B18" s="98"/>
      <c r="C18" s="99"/>
      <c r="D18" s="99"/>
      <c r="E18" s="100"/>
      <c r="F18" s="99"/>
      <c r="G18" s="101"/>
    </row>
    <row r="19" customFormat="false" ht="12.8" hidden="false" customHeight="false" outlineLevel="0" collapsed="false">
      <c r="A19" s="0" t="s">
        <v>146</v>
      </c>
      <c r="B19" s="1" t="str">
        <f aca="false">IF(C19&gt;0,"+","-")</f>
        <v>-</v>
      </c>
      <c r="C19" s="23"/>
      <c r="D19" s="23"/>
      <c r="E19" s="43" t="e">
        <f aca="false">(+C19/D19)-1</f>
        <v>#DIV/0!</v>
      </c>
      <c r="F19" s="23"/>
      <c r="G19" s="43" t="e">
        <f aca="false">(+D19/F19)-1</f>
        <v>#DIV/0!</v>
      </c>
    </row>
    <row r="20" customFormat="false" ht="12.8" hidden="false" customHeight="false" outlineLevel="0" collapsed="false">
      <c r="A20" s="0" t="s">
        <v>147</v>
      </c>
      <c r="B20" s="1" t="str">
        <f aca="false">IF(C20&gt;0,"+","-")</f>
        <v>-</v>
      </c>
      <c r="C20" s="23" t="n">
        <v>-5065</v>
      </c>
      <c r="D20" s="23" t="n">
        <v>-4985</v>
      </c>
      <c r="E20" s="43" t="n">
        <f aca="false">(+C20/D20)-1</f>
        <v>0.0160481444332998</v>
      </c>
      <c r="F20" s="23" t="n">
        <v>-13747</v>
      </c>
      <c r="G20" s="43" t="n">
        <f aca="false">(+D20/F20)-1</f>
        <v>-0.637375427365971</v>
      </c>
    </row>
    <row r="21" customFormat="false" ht="12.8" hidden="false" customHeight="false" outlineLevel="0" collapsed="false">
      <c r="A21" s="0" t="s">
        <v>148</v>
      </c>
      <c r="B21" s="1" t="str">
        <f aca="false">IF(C21&gt;0,"+","-")</f>
        <v>-</v>
      </c>
      <c r="C21" s="23"/>
      <c r="D21" s="23"/>
      <c r="E21" s="43" t="e">
        <f aca="false">(+C21/D21)-1</f>
        <v>#DIV/0!</v>
      </c>
      <c r="F21" s="23"/>
      <c r="G21" s="43" t="e">
        <f aca="false">(+D21/F21)-1</f>
        <v>#DIV/0!</v>
      </c>
    </row>
    <row r="22" customFormat="false" ht="12.8" hidden="false" customHeight="false" outlineLevel="0" collapsed="false">
      <c r="A22" s="0" t="s">
        <v>149</v>
      </c>
      <c r="B22" s="1" t="str">
        <f aca="false">IF(C22&gt;0,"+","-")</f>
        <v>-</v>
      </c>
      <c r="C22" s="23"/>
      <c r="D22" s="23"/>
      <c r="E22" s="43" t="e">
        <f aca="false">(+C22/D22)-1</f>
        <v>#DIV/0!</v>
      </c>
      <c r="F22" s="23"/>
      <c r="G22" s="43" t="e">
        <f aca="false">(+D22/F22)-1</f>
        <v>#DIV/0!</v>
      </c>
    </row>
    <row r="23" customFormat="false" ht="12.8" hidden="false" customHeight="false" outlineLevel="0" collapsed="false">
      <c r="A23" s="0" t="s">
        <v>150</v>
      </c>
      <c r="B23" s="1" t="str">
        <f aca="false">IF(C23&gt;0,"+","-")</f>
        <v>+</v>
      </c>
      <c r="C23" s="23" t="n">
        <v>6982</v>
      </c>
      <c r="D23" s="23" t="n">
        <v>7240</v>
      </c>
      <c r="E23" s="43" t="n">
        <f aca="false">(+C23/D23)-1</f>
        <v>-0.0356353591160221</v>
      </c>
      <c r="F23" s="23" t="n">
        <v>-30963</v>
      </c>
      <c r="G23" s="43" t="n">
        <f aca="false">(+D23/F23)-1</f>
        <v>-1.23382747149824</v>
      </c>
    </row>
    <row r="24" customFormat="false" ht="12.8" hidden="false" customHeight="false" outlineLevel="0" collapsed="false">
      <c r="A24" s="102" t="s">
        <v>151</v>
      </c>
      <c r="B24" s="103" t="n">
        <f aca="false">SUM(C4:C23)</f>
        <v>498106</v>
      </c>
      <c r="C24" s="103"/>
      <c r="D24" s="25" t="n">
        <f aca="false">SUM(D4:D23)</f>
        <v>16826</v>
      </c>
      <c r="E24" s="104" t="n">
        <f aca="false">(+B24/D24)-1</f>
        <v>28.6033519553073</v>
      </c>
      <c r="F24" s="25" t="n">
        <f aca="false">SUM(F4:F23)</f>
        <v>248318</v>
      </c>
      <c r="G24" s="104" t="n">
        <f aca="false">(+D24/F24)-1</f>
        <v>-0.93224011146997</v>
      </c>
    </row>
    <row r="25" customFormat="false" ht="12.8" hidden="false" customHeight="false" outlineLevel="0" collapsed="false">
      <c r="A25" s="30" t="s">
        <v>152</v>
      </c>
      <c r="B25" s="30"/>
      <c r="C25" s="30"/>
      <c r="D25" s="30"/>
      <c r="E25" s="30" t="e">
        <f aca="false">(+B25/D25)-1</f>
        <v>#DIV/0!</v>
      </c>
      <c r="F25" s="30"/>
      <c r="G25" s="30" t="e">
        <f aca="false">(+D25/F25)-1</f>
        <v>#DIV/0!</v>
      </c>
    </row>
    <row r="26" customFormat="false" ht="12.8" hidden="false" customHeight="false" outlineLevel="0" collapsed="false">
      <c r="A26" s="0" t="s">
        <v>153</v>
      </c>
      <c r="B26" s="1" t="str">
        <f aca="false">IF(C26&gt;0,"+","-")</f>
        <v>-</v>
      </c>
      <c r="C26" s="23" t="n">
        <v>-181427</v>
      </c>
      <c r="D26" s="23" t="n">
        <v>-44466</v>
      </c>
      <c r="E26" s="43" t="n">
        <f aca="false">(+C26/D26)-1</f>
        <v>3.08012863761076</v>
      </c>
      <c r="F26" s="23" t="n">
        <v>-97828</v>
      </c>
      <c r="G26" s="43" t="n">
        <f aca="false">(+D26/F26)-1</f>
        <v>-0.545467555301141</v>
      </c>
    </row>
    <row r="27" customFormat="false" ht="12.8" hidden="false" customHeight="false" outlineLevel="0" collapsed="false">
      <c r="A27" s="0" t="s">
        <v>154</v>
      </c>
      <c r="B27" s="1" t="str">
        <f aca="false">IF(C27&gt;0,"+","-")</f>
        <v>-</v>
      </c>
      <c r="C27" s="23" t="n">
        <v>0</v>
      </c>
      <c r="D27" s="23" t="n">
        <v>0</v>
      </c>
      <c r="E27" s="43" t="e">
        <f aca="false">(+C27/D27)-1</f>
        <v>#DIV/0!</v>
      </c>
      <c r="F27" s="23" t="n">
        <v>15</v>
      </c>
      <c r="G27" s="43" t="n">
        <f aca="false">(+D27/F27)-1</f>
        <v>-1</v>
      </c>
    </row>
    <row r="28" customFormat="false" ht="12.8" hidden="false" customHeight="false" outlineLevel="0" collapsed="false">
      <c r="A28" s="0" t="s">
        <v>155</v>
      </c>
      <c r="B28" s="1" t="str">
        <f aca="false">IF(C28&gt;0,"+","-")</f>
        <v>-</v>
      </c>
      <c r="C28" s="23" t="n">
        <v>0</v>
      </c>
      <c r="D28" s="23" t="n">
        <v>0</v>
      </c>
      <c r="E28" s="43" t="e">
        <f aca="false">(+C28/D28)-1</f>
        <v>#DIV/0!</v>
      </c>
      <c r="F28" s="21" t="n">
        <v>0</v>
      </c>
      <c r="G28" s="43" t="e">
        <f aca="false">(+D28/F28)-1</f>
        <v>#DIV/0!</v>
      </c>
    </row>
    <row r="29" customFormat="false" ht="12.8" hidden="false" customHeight="false" outlineLevel="0" collapsed="false">
      <c r="A29" s="0" t="s">
        <v>156</v>
      </c>
      <c r="B29" s="1" t="str">
        <f aca="false">IF(C29&gt;0,"+","-")</f>
        <v>-</v>
      </c>
      <c r="C29" s="23" t="n">
        <v>-229773</v>
      </c>
      <c r="D29" s="23" t="n">
        <v>-79226</v>
      </c>
      <c r="E29" s="43" t="n">
        <f aca="false">(+C29/D29)-1</f>
        <v>1.90022214929442</v>
      </c>
      <c r="F29" s="23" t="n">
        <v>-5040</v>
      </c>
      <c r="G29" s="43" t="n">
        <f aca="false">(+D29/F29)-1</f>
        <v>14.7194444444444</v>
      </c>
    </row>
    <row r="30" customFormat="false" ht="12.8" hidden="false" customHeight="false" outlineLevel="0" collapsed="false">
      <c r="A30" s="0" t="s">
        <v>150</v>
      </c>
      <c r="B30" s="1" t="str">
        <f aca="false">IF(C30&gt;0,"+","-")</f>
        <v>-</v>
      </c>
      <c r="C30" s="23" t="n">
        <f aca="false">-50777-135970+42438</f>
        <v>-144309</v>
      </c>
      <c r="D30" s="23" t="n">
        <f aca="false">+13275-23072+151988</f>
        <v>142191</v>
      </c>
      <c r="E30" s="43" t="n">
        <f aca="false">(+C30/D30)-1</f>
        <v>-2.01489545751841</v>
      </c>
      <c r="F30" s="23" t="n">
        <f aca="false">84689-4838+130988</f>
        <v>210839</v>
      </c>
      <c r="G30" s="43" t="n">
        <f aca="false">(+D30/F30)-1</f>
        <v>-0.325594410901209</v>
      </c>
      <c r="L30" s="0"/>
      <c r="M30" s="0"/>
      <c r="N30" s="0"/>
    </row>
    <row r="31" customFormat="false" ht="12.8" hidden="false" customHeight="false" outlineLevel="0" collapsed="false">
      <c r="A31" s="0" t="s">
        <v>157</v>
      </c>
      <c r="B31" s="1" t="str">
        <f aca="false">IF(C31&gt;0,"+","-")</f>
        <v>+</v>
      </c>
      <c r="C31" s="23" t="n">
        <v>21618</v>
      </c>
      <c r="D31" s="23" t="n">
        <v>21049</v>
      </c>
      <c r="E31" s="43" t="n">
        <f aca="false">(+C31/D31)-1</f>
        <v>0.0270321630481258</v>
      </c>
      <c r="F31" s="23" t="n">
        <v>27492</v>
      </c>
      <c r="G31" s="43" t="n">
        <f aca="false">(+D31/F31)-1</f>
        <v>-0.234359086279645</v>
      </c>
      <c r="L31" s="0"/>
      <c r="M31" s="0"/>
      <c r="N31" s="0"/>
    </row>
    <row r="32" customFormat="false" ht="12.8" hidden="false" customHeight="false" outlineLevel="0" collapsed="false">
      <c r="A32" s="0" t="s">
        <v>158</v>
      </c>
      <c r="B32" s="1" t="str">
        <f aca="false">IF(C32&gt;0,"+","-")</f>
        <v>+</v>
      </c>
      <c r="C32" s="23" t="n">
        <v>30353</v>
      </c>
      <c r="D32" s="23" t="n">
        <v>26981</v>
      </c>
      <c r="E32" s="43" t="n">
        <f aca="false">(+C32/D32)-1</f>
        <v>0.124976835550943</v>
      </c>
      <c r="F32" s="23" t="n">
        <v>19684</v>
      </c>
      <c r="G32" s="43" t="n">
        <f aca="false">(+D32/F32)-1</f>
        <v>0.370707173338752</v>
      </c>
    </row>
    <row r="33" customFormat="false" ht="12.8" hidden="false" customHeight="false" outlineLevel="0" collapsed="false">
      <c r="A33" s="102" t="s">
        <v>151</v>
      </c>
      <c r="B33" s="105" t="n">
        <f aca="false">SUM(C26:C32)</f>
        <v>-503538</v>
      </c>
      <c r="C33" s="105"/>
      <c r="D33" s="25" t="n">
        <f aca="false">SUM(D26:D32)</f>
        <v>66529</v>
      </c>
      <c r="E33" s="104" t="n">
        <f aca="false">(+B33/D33)-1</f>
        <v>-8.56869936418705</v>
      </c>
      <c r="F33" s="25" t="n">
        <f aca="false">SUM(F26:F32)</f>
        <v>155162</v>
      </c>
      <c r="G33" s="104" t="n">
        <f aca="false">(+D33/F33)-1</f>
        <v>-0.571228780242585</v>
      </c>
    </row>
    <row r="34" customFormat="false" ht="12.8" hidden="false" customHeight="false" outlineLevel="0" collapsed="false">
      <c r="A34" s="106" t="s">
        <v>159</v>
      </c>
      <c r="B34" s="106"/>
      <c r="C34" s="106"/>
      <c r="D34" s="106"/>
      <c r="E34" s="106" t="e">
        <f aca="false">(+B34/D34)-1</f>
        <v>#DIV/0!</v>
      </c>
      <c r="F34" s="106"/>
      <c r="G34" s="106" t="e">
        <f aca="false">(+D34/F34)-1</f>
        <v>#DIV/0!</v>
      </c>
    </row>
    <row r="35" customFormat="false" ht="12.8" hidden="false" customHeight="false" outlineLevel="0" collapsed="false">
      <c r="A35" s="27" t="s">
        <v>160</v>
      </c>
      <c r="B35" s="1" t="str">
        <f aca="false">IF(C35&gt;0,"+","-")</f>
        <v>-</v>
      </c>
      <c r="C35" s="23"/>
      <c r="D35" s="23"/>
      <c r="E35" s="43" t="e">
        <f aca="false">(+C35/D35)-1</f>
        <v>#DIV/0!</v>
      </c>
      <c r="F35" s="23"/>
      <c r="G35" s="43" t="e">
        <f aca="false">(+D35/F35)-1</f>
        <v>#DIV/0!</v>
      </c>
    </row>
    <row r="36" customFormat="false" ht="12.8" hidden="false" customHeight="false" outlineLevel="0" collapsed="false">
      <c r="A36" s="0" t="s">
        <v>161</v>
      </c>
      <c r="B36" s="1" t="str">
        <f aca="false">IF(C36&gt;0,"+","-")</f>
        <v>-</v>
      </c>
      <c r="C36" s="23" t="n">
        <v>-17928</v>
      </c>
      <c r="D36" s="23" t="n">
        <v>-10150</v>
      </c>
      <c r="E36" s="43" t="n">
        <f aca="false">(+C36/D36)-1</f>
        <v>0.766305418719212</v>
      </c>
      <c r="F36" s="23"/>
      <c r="G36" s="43" t="e">
        <f aca="false">(+D36/F36)-1</f>
        <v>#DIV/0!</v>
      </c>
    </row>
    <row r="37" customFormat="false" ht="19.4" hidden="false" customHeight="false" outlineLevel="0" collapsed="false">
      <c r="A37" s="107" t="s">
        <v>162</v>
      </c>
      <c r="B37" s="1" t="str">
        <f aca="false">IF(C37&gt;0,"+","-")</f>
        <v>+</v>
      </c>
      <c r="C37" s="23" t="n">
        <v>43296</v>
      </c>
      <c r="D37" s="23" t="n">
        <v>18509</v>
      </c>
      <c r="E37" s="43" t="n">
        <f aca="false">(+C37/D37)-1</f>
        <v>1.33918634177967</v>
      </c>
      <c r="F37" s="23"/>
      <c r="G37" s="43" t="e">
        <f aca="false">(+D37/F37)-1</f>
        <v>#DIV/0!</v>
      </c>
    </row>
    <row r="38" customFormat="false" ht="12.8" hidden="false" customHeight="false" outlineLevel="0" collapsed="false">
      <c r="A38" s="0" t="s">
        <v>163</v>
      </c>
      <c r="B38" s="1" t="str">
        <f aca="false">IF(C38&gt;0,"+","-")</f>
        <v>-</v>
      </c>
      <c r="C38" s="23"/>
      <c r="D38" s="23"/>
      <c r="E38" s="43" t="e">
        <f aca="false">(+C38/D38)-1</f>
        <v>#DIV/0!</v>
      </c>
      <c r="F38" s="23"/>
      <c r="G38" s="43" t="e">
        <f aca="false">(+D38/F38)-1</f>
        <v>#DIV/0!</v>
      </c>
    </row>
    <row r="39" customFormat="false" ht="12.8" hidden="false" customHeight="false" outlineLevel="0" collapsed="false">
      <c r="A39" s="0" t="s">
        <v>164</v>
      </c>
      <c r="B39" s="1" t="str">
        <f aca="false">IF(C39&gt;0,"+","-")</f>
        <v>-</v>
      </c>
      <c r="C39" s="23" t="n">
        <v>0</v>
      </c>
      <c r="D39" s="23" t="n">
        <v>-92181</v>
      </c>
      <c r="E39" s="43" t="n">
        <f aca="false">(+C39/D39)-1</f>
        <v>-1</v>
      </c>
      <c r="F39" s="23" t="n">
        <v>-114784</v>
      </c>
      <c r="G39" s="43" t="n">
        <f aca="false">(+D39/F39)-1</f>
        <v>-0.196917688876499</v>
      </c>
    </row>
    <row r="40" customFormat="false" ht="12.8" hidden="false" customHeight="false" outlineLevel="0" collapsed="false">
      <c r="A40" s="0" t="s">
        <v>165</v>
      </c>
      <c r="B40" s="1" t="str">
        <f aca="false">IF(C40&gt;0,"+","-")</f>
        <v>-</v>
      </c>
      <c r="C40" s="23"/>
      <c r="D40" s="23"/>
      <c r="E40" s="43" t="e">
        <f aca="false">(+C40/D40)-1</f>
        <v>#DIV/0!</v>
      </c>
      <c r="F40" s="23"/>
      <c r="G40" s="43" t="e">
        <f aca="false">(+D40/F40)-1</f>
        <v>#DIV/0!</v>
      </c>
    </row>
    <row r="41" customFormat="false" ht="12.8" hidden="false" customHeight="false" outlineLevel="0" collapsed="false">
      <c r="A41" s="0" t="s">
        <v>166</v>
      </c>
      <c r="B41" s="1" t="str">
        <f aca="false">IF(C41&gt;0,"+","-")</f>
        <v>-</v>
      </c>
      <c r="C41" s="23"/>
      <c r="D41" s="23"/>
      <c r="E41" s="43" t="e">
        <f aca="false">(+C41/D41)-1</f>
        <v>#DIV/0!</v>
      </c>
      <c r="F41" s="23"/>
      <c r="G41" s="43" t="e">
        <f aca="false">(+D41/F41)-1</f>
        <v>#DIV/0!</v>
      </c>
    </row>
    <row r="42" customFormat="false" ht="12.8" hidden="false" customHeight="false" outlineLevel="0" collapsed="false">
      <c r="A42" s="102" t="s">
        <v>151</v>
      </c>
      <c r="B42" s="105" t="n">
        <f aca="false">SUM(C35:C41)</f>
        <v>25368</v>
      </c>
      <c r="C42" s="105"/>
      <c r="D42" s="25" t="n">
        <f aca="false">SUM(D35:D41)</f>
        <v>-83822</v>
      </c>
      <c r="E42" s="104" t="n">
        <f aca="false">(+B42/D42)-1</f>
        <v>-1.30264131135024</v>
      </c>
      <c r="F42" s="25" t="n">
        <f aca="false">SUM(F35:F41)</f>
        <v>-114784</v>
      </c>
      <c r="G42" s="104" t="n">
        <f aca="false">(+D42/F42)-1</f>
        <v>-0.269741427376638</v>
      </c>
    </row>
    <row r="43" customFormat="false" ht="12.8" hidden="false" customHeight="false" outlineLevel="0" collapsed="false">
      <c r="A43" s="48" t="s">
        <v>167</v>
      </c>
      <c r="B43" s="48"/>
      <c r="C43" s="48"/>
      <c r="D43" s="48"/>
      <c r="E43" s="48" t="e">
        <f aca="false">(+B43/D43)-1</f>
        <v>#DIV/0!</v>
      </c>
      <c r="F43" s="48"/>
      <c r="G43" s="48" t="e">
        <f aca="false">(+D43/F43)-1</f>
        <v>#DIV/0!</v>
      </c>
    </row>
    <row r="44" customFormat="false" ht="12.8" hidden="false" customHeight="false" outlineLevel="0" collapsed="false">
      <c r="A44" s="102" t="s">
        <v>168</v>
      </c>
      <c r="B44" s="108" t="n">
        <v>10736</v>
      </c>
      <c r="C44" s="108"/>
      <c r="D44" s="25" t="n">
        <v>11201</v>
      </c>
      <c r="E44" s="104" t="n">
        <f aca="false">(+B44/D44)-1</f>
        <v>-0.0415141505222748</v>
      </c>
      <c r="F44" s="25" t="n">
        <v>6928</v>
      </c>
      <c r="G44" s="104" t="n">
        <f aca="false">(+D44/F44)-1</f>
        <v>0.616772517321016</v>
      </c>
    </row>
    <row r="45" customFormat="false" ht="12.8" hidden="false" customHeight="false" outlineLevel="0" collapsed="false">
      <c r="A45" s="102" t="s">
        <v>169</v>
      </c>
      <c r="B45" s="108" t="n">
        <f aca="false">+B24+B33+B42</f>
        <v>19936</v>
      </c>
      <c r="C45" s="108"/>
      <c r="D45" s="25" t="n">
        <f aca="false">+D42+D33+D24</f>
        <v>-467</v>
      </c>
      <c r="E45" s="104" t="n">
        <f aca="false">(+B45/D45)-1</f>
        <v>-43.6895074946467</v>
      </c>
      <c r="F45" s="25" t="n">
        <f aca="false">+F42+F33+F24</f>
        <v>288696</v>
      </c>
      <c r="G45" s="104" t="n">
        <f aca="false">(+D45/F45)-1</f>
        <v>-1.00161761853299</v>
      </c>
    </row>
    <row r="46" customFormat="false" ht="12.8" hidden="false" customHeight="false" outlineLevel="0" collapsed="false">
      <c r="A46" s="102" t="s">
        <v>170</v>
      </c>
      <c r="B46" s="108" t="n">
        <f aca="false">+B44+B45</f>
        <v>30672</v>
      </c>
      <c r="C46" s="108"/>
      <c r="D46" s="25" t="n">
        <f aca="false">+D44+D45</f>
        <v>10734</v>
      </c>
      <c r="E46" s="104" t="n">
        <f aca="false">(+B46/D46)-1</f>
        <v>1.85746226942426</v>
      </c>
      <c r="F46" s="25" t="n">
        <f aca="false">+F44+F45</f>
        <v>295624</v>
      </c>
      <c r="G46" s="104" t="n">
        <f aca="false">(+D46/F46)-1</f>
        <v>-0.963690363434633</v>
      </c>
    </row>
    <row r="47" customFormat="false" ht="12.8" hidden="false" customHeight="false" outlineLevel="0" collapsed="false">
      <c r="A47" s="48"/>
      <c r="B47" s="48"/>
      <c r="C47" s="48"/>
      <c r="D47" s="48"/>
      <c r="E47" s="48" t="e">
        <f aca="false">(+B47/D47)-1</f>
        <v>#DIV/0!</v>
      </c>
      <c r="F47" s="48"/>
      <c r="G47" s="48" t="e">
        <f aca="false">(+D47/F47)-1</f>
        <v>#DIV/0!</v>
      </c>
    </row>
    <row r="48" customFormat="false" ht="12.8" hidden="false" customHeight="false" outlineLevel="0" collapsed="false">
      <c r="E48" s="109"/>
      <c r="G48" s="109"/>
    </row>
  </sheetData>
  <mergeCells count="17">
    <mergeCell ref="A3:G3"/>
    <mergeCell ref="I3:K3"/>
    <mergeCell ref="I4:K4"/>
    <mergeCell ref="I5:K5"/>
    <mergeCell ref="I6:K6"/>
    <mergeCell ref="I7:K7"/>
    <mergeCell ref="I8:K8"/>
    <mergeCell ref="B24:C24"/>
    <mergeCell ref="A25:G25"/>
    <mergeCell ref="B33:C33"/>
    <mergeCell ref="A34:G34"/>
    <mergeCell ref="B42:C42"/>
    <mergeCell ref="A43:G43"/>
    <mergeCell ref="B44:C44"/>
    <mergeCell ref="B45:C45"/>
    <mergeCell ref="B46:C46"/>
    <mergeCell ref="A47:G47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2022-05-28T14:14:17Z</dcterms:modified>
  <cp:revision>13</cp:revision>
  <dc:subject/>
  <dc:title/>
</cp:coreProperties>
</file>