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Опис" sheetId="1" state="visible" r:id="rId2"/>
    <sheet name="Готовински принос" sheetId="2" state="visible" r:id="rId3"/>
    <sheet name="Средства" sheetId="3" state="visible" r:id="rId4"/>
    <sheet name="Бонитет и насока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2" authorId="0">
      <text>
        <r>
          <rPr>
            <sz val="10"/>
            <color rgb="FF0000FF"/>
            <rFont val="Arial"/>
            <family val="2"/>
            <charset val="1"/>
          </rPr>
          <t xml:space="preserve">https://www.investopedia.com/terms/d/debtequityratio.asp
</t>
        </r>
      </text>
    </comment>
    <comment ref="D38" authorId="0">
      <text>
        <r>
          <rPr>
            <sz val="10"/>
            <rFont val="Arial"/>
            <family val="2"/>
            <charset val="1"/>
          </rPr>
          <t xml:space="preserve">2022 ќе се даде дивиденда 17 денари по акција
</t>
        </r>
      </text>
    </comment>
  </commentList>
</comments>
</file>

<file path=xl/sharedStrings.xml><?xml version="1.0" encoding="utf-8"?>
<sst xmlns="http://schemas.openxmlformats.org/spreadsheetml/2006/main" count="221" uniqueCount="200">
  <si>
    <t xml:space="preserve">Линкови</t>
  </si>
  <si>
    <t xml:space="preserve">Готвински принос</t>
  </si>
  <si>
    <t xml:space="preserve">Назив на АД</t>
  </si>
  <si>
    <t xml:space="preserve">Основана</t>
  </si>
  <si>
    <t xml:space="preserve">Средства</t>
  </si>
  <si>
    <t xml:space="preserve">Тикер</t>
  </si>
  <si>
    <t xml:space="preserve">Дејност</t>
  </si>
  <si>
    <t xml:space="preserve">ред бр.</t>
  </si>
  <si>
    <t xml:space="preserve">Продукт</t>
  </si>
  <si>
    <t xml:space="preserve">Опис</t>
  </si>
  <si>
    <t xml:space="preserve">Субститут</t>
  </si>
  <si>
    <t xml:space="preserve">Конкуретност</t>
  </si>
  <si>
    <t xml:space="preserve">Бонитет и насока</t>
  </si>
  <si>
    <t xml:space="preserve">Цена</t>
  </si>
  <si>
    <t xml:space="preserve">Број на акции</t>
  </si>
  <si>
    <t xml:space="preserve">Тек. Средства</t>
  </si>
  <si>
    <t xml:space="preserve">Добавувачи</t>
  </si>
  <si>
    <t xml:space="preserve">Ново конкурентост</t>
  </si>
  <si>
    <t xml:space="preserve">Тек. Конкуренција</t>
  </si>
  <si>
    <t xml:space="preserve"> Субститути</t>
  </si>
  <si>
    <t xml:space="preserve">Потрошувачи</t>
  </si>
  <si>
    <t xml:space="preserve">Назад</t>
  </si>
  <si>
    <t xml:space="preserve">20Q1</t>
  </si>
  <si>
    <t xml:space="preserve">20Q2</t>
  </si>
  <si>
    <t xml:space="preserve">20Q3</t>
  </si>
  <si>
    <t xml:space="preserve">20Q4</t>
  </si>
  <si>
    <t xml:space="preserve">21Q1</t>
  </si>
  <si>
    <t xml:space="preserve">21Q2</t>
  </si>
  <si>
    <t xml:space="preserve">21Q3</t>
  </si>
  <si>
    <t xml:space="preserve">21Q4</t>
  </si>
  <si>
    <t xml:space="preserve">22Q1</t>
  </si>
  <si>
    <t xml:space="preserve">Оперативни текови</t>
  </si>
  <si>
    <t xml:space="preserve">Приходи од камата</t>
  </si>
  <si>
    <t xml:space="preserve">Расходи за камата</t>
  </si>
  <si>
    <t xml:space="preserve">Приходи од при. Деј. (primCOGS)</t>
  </si>
  <si>
    <t xml:space="preserve">Приходи од провизии и надомести</t>
  </si>
  <si>
    <t xml:space="preserve">Расходи од провизии и надомести</t>
  </si>
  <si>
    <t xml:space="preserve">Приходи од сек. Деј. (secCOGS)</t>
  </si>
  <si>
    <t xml:space="preserve">Нето приходи од тргување</t>
  </si>
  <si>
    <t xml:space="preserve">Нето приходи од фин. Инст</t>
  </si>
  <si>
    <t xml:space="preserve">Нето приходи од курсни разлики</t>
  </si>
  <si>
    <t xml:space="preserve">Приходи од тер. Деј. (ter.COGS)</t>
  </si>
  <si>
    <t xml:space="preserve">Исправка на вонбалансна излож.</t>
  </si>
  <si>
    <t xml:space="preserve">Загуба поради оштетување на сре.</t>
  </si>
  <si>
    <t xml:space="preserve">Трошоци за вработени</t>
  </si>
  <si>
    <t xml:space="preserve">Оперативна добивка (EBITDA)</t>
  </si>
  <si>
    <t xml:space="preserve">Финансирање</t>
  </si>
  <si>
    <t xml:space="preserve">Приходи од придружени друштва</t>
  </si>
  <si>
    <t xml:space="preserve">Други текови</t>
  </si>
  <si>
    <t xml:space="preserve">Приходи од други текови</t>
  </si>
  <si>
    <t xml:space="preserve">Расходи од други текови</t>
  </si>
  <si>
    <t xml:space="preserve">Добивка од други текови</t>
  </si>
  <si>
    <t xml:space="preserve">Вкупно</t>
  </si>
  <si>
    <t xml:space="preserve">Добивка пред даночење (EBT)</t>
  </si>
  <si>
    <t xml:space="preserve">Даноци</t>
  </si>
  <si>
    <t xml:space="preserve">Нето добивка/Профит</t>
  </si>
  <si>
    <t xml:space="preserve">Модел</t>
  </si>
  <si>
    <t xml:space="preserve">Стапка на созревање</t>
  </si>
  <si>
    <t xml:space="preserve">Дисконтна стапка</t>
  </si>
  <si>
    <t xml:space="preserve">Нето Сегашна Вредност</t>
  </si>
  <si>
    <t xml:space="preserve">Вредност</t>
  </si>
  <si>
    <t xml:space="preserve">Цена по акција</t>
  </si>
  <si>
    <t xml:space="preserve">Пазарна цена</t>
  </si>
  <si>
    <t xml:space="preserve">Разлика (Профит/Разлика)</t>
  </si>
  <si>
    <t xml:space="preserve">Дивиденда</t>
  </si>
  <si>
    <t xml:space="preserve">Вредност </t>
  </si>
  <si>
    <t xml:space="preserve">По 10 год</t>
  </si>
  <si>
    <t xml:space="preserve">Куповна цена</t>
  </si>
  <si>
    <t xml:space="preserve">Апс. Разлика (Профит/Разлика)</t>
  </si>
  <si>
    <t xml:space="preserve">Индикатори</t>
  </si>
  <si>
    <t xml:space="preserve">Годишна</t>
  </si>
  <si>
    <t xml:space="preserve">Бруто Маржа од Камати</t>
  </si>
  <si>
    <t xml:space="preserve">Бруто Маржа од провизии</t>
  </si>
  <si>
    <t xml:space="preserve">Удел на каматен доход во вкупен</t>
  </si>
  <si>
    <t xml:space="preserve">Удел на провизионен доход во вку.</t>
  </si>
  <si>
    <t xml:space="preserve">Удел на ост. Доход во вкупен</t>
  </si>
  <si>
    <t xml:space="preserve">Удел на други прет во вкупен</t>
  </si>
  <si>
    <t xml:space="preserve">Удел на други текови во вкупно</t>
  </si>
  <si>
    <t xml:space="preserve">Оперативна Маржа</t>
  </si>
  <si>
    <t xml:space="preserve">Профит Маржа</t>
  </si>
  <si>
    <t xml:space="preserve">Данок</t>
  </si>
  <si>
    <t xml:space="preserve">Пораст на приход г/г</t>
  </si>
  <si>
    <t xml:space="preserve">Пораст на оперативни трош г/г</t>
  </si>
  <si>
    <t xml:space="preserve">Прод. Пораст на опер. Приход </t>
  </si>
  <si>
    <t xml:space="preserve">Пораст на профит</t>
  </si>
  <si>
    <t xml:space="preserve">Вредносни</t>
  </si>
  <si>
    <t xml:space="preserve">Поврат на средства</t>
  </si>
  <si>
    <t xml:space="preserve">Поврат на капитал</t>
  </si>
  <si>
    <t xml:space="preserve">Цена/Добивка</t>
  </si>
  <si>
    <t xml:space="preserve">Цена/По сметководствена вред.</t>
  </si>
  <si>
    <t xml:space="preserve">Должнички</t>
  </si>
  <si>
    <t xml:space="preserve">Покритие на капитал со долг</t>
  </si>
  <si>
    <t xml:space="preserve">Долг/Средства</t>
  </si>
  <si>
    <t xml:space="preserve">Покритие на депозити</t>
  </si>
  <si>
    <t xml:space="preserve">ДАТУМ</t>
  </si>
  <si>
    <t xml:space="preserve">Тековни средства</t>
  </si>
  <si>
    <t xml:space="preserve">Тековни обврски</t>
  </si>
  <si>
    <t xml:space="preserve">Пари</t>
  </si>
  <si>
    <t xml:space="preserve">Обврски за тргување</t>
  </si>
  <si>
    <t xml:space="preserve">Парични еквиваленти</t>
  </si>
  <si>
    <t xml:space="preserve">Обврски за данок на добивка</t>
  </si>
  <si>
    <t xml:space="preserve">Средства за тргување</t>
  </si>
  <si>
    <t xml:space="preserve">Депозити на банки</t>
  </si>
  <si>
    <t xml:space="preserve">Побарувања на данок на добив.</t>
  </si>
  <si>
    <t xml:space="preserve">Депозити на други коминтенти</t>
  </si>
  <si>
    <t xml:space="preserve">Останати побарувања</t>
  </si>
  <si>
    <t xml:space="preserve">Постојани обврски</t>
  </si>
  <si>
    <t xml:space="preserve">Постојани средства</t>
  </si>
  <si>
    <t xml:space="preserve">Субординирани обв.</t>
  </si>
  <si>
    <t xml:space="preserve">Недвижност и опрема</t>
  </si>
  <si>
    <t xml:space="preserve">Фин обврски по објек.</t>
  </si>
  <si>
    <t xml:space="preserve">Нематријални средства</t>
  </si>
  <si>
    <t xml:space="preserve">Дериватни обв за управување</t>
  </si>
  <si>
    <t xml:space="preserve">Одложени даночни средства</t>
  </si>
  <si>
    <t xml:space="preserve">Издадени должнички хар од вре.</t>
  </si>
  <si>
    <t xml:space="preserve">Кредити од банки</t>
  </si>
  <si>
    <t xml:space="preserve">Обврски по кредити</t>
  </si>
  <si>
    <t xml:space="preserve">Кредити од други комитенти</t>
  </si>
  <si>
    <t xml:space="preserve">Посебна резерва и резерви</t>
  </si>
  <si>
    <t xml:space="preserve">Фин средства по објек.</t>
  </si>
  <si>
    <t xml:space="preserve">Одложени даночни обврски</t>
  </si>
  <si>
    <t xml:space="preserve">Деративи за управување со риз</t>
  </si>
  <si>
    <t xml:space="preserve">Обв. За отуѓување</t>
  </si>
  <si>
    <t xml:space="preserve">Вложувања во хартии од вред.</t>
  </si>
  <si>
    <t xml:space="preserve">Остананти обврски</t>
  </si>
  <si>
    <t xml:space="preserve">Вложувања во придружни дру.</t>
  </si>
  <si>
    <t xml:space="preserve">Долгорочни обврски</t>
  </si>
  <si>
    <t xml:space="preserve">Останати долгорочни средства</t>
  </si>
  <si>
    <t xml:space="preserve">Средства одземени за непо.</t>
  </si>
  <si>
    <t xml:space="preserve">Вкупно обврски</t>
  </si>
  <si>
    <t xml:space="preserve">Заложени средства</t>
  </si>
  <si>
    <t xml:space="preserve">Нетековни средства (инв)</t>
  </si>
  <si>
    <t xml:space="preserve">Капитал</t>
  </si>
  <si>
    <t xml:space="preserve">Долгорочни средства</t>
  </si>
  <si>
    <t xml:space="preserve">Запишан капитал</t>
  </si>
  <si>
    <t xml:space="preserve">Премии од акции</t>
  </si>
  <si>
    <t xml:space="preserve">Вкупно средства</t>
  </si>
  <si>
    <t xml:space="preserve">Сопствени акции</t>
  </si>
  <si>
    <t xml:space="preserve">Други сопственички инст.</t>
  </si>
  <si>
    <t xml:space="preserve">Вкупно пари</t>
  </si>
  <si>
    <t xml:space="preserve">Ревалозирани резерви</t>
  </si>
  <si>
    <t xml:space="preserve">Останати резерви</t>
  </si>
  <si>
    <t xml:space="preserve">Задржана добивка/загуба</t>
  </si>
  <si>
    <t xml:space="preserve">Вкупно капитал</t>
  </si>
  <si>
    <t xml:space="preserve">Вкупно пасива</t>
  </si>
  <si>
    <t xml:space="preserve">Ставка</t>
  </si>
  <si>
    <t xml:space="preserve">+/-</t>
  </si>
  <si>
    <t xml:space="preserve">Разлика</t>
  </si>
  <si>
    <t xml:space="preserve">Издадени должнички хартии од вредност</t>
  </si>
  <si>
    <t xml:space="preserve">Камата</t>
  </si>
  <si>
    <t xml:space="preserve">Издавање</t>
  </si>
  <si>
    <t xml:space="preserve">Доспевање</t>
  </si>
  <si>
    <t xml:space="preserve">Добивка пред данок</t>
  </si>
  <si>
    <t xml:space="preserve">Амортизација</t>
  </si>
  <si>
    <t xml:space="preserve">Капитална добивка</t>
  </si>
  <si>
    <t xml:space="preserve">Капитална загуба</t>
  </si>
  <si>
    <t xml:space="preserve">Приходи од камати</t>
  </si>
  <si>
    <t xml:space="preserve">Расходи од камати</t>
  </si>
  <si>
    <t xml:space="preserve">Нето приходи за тргување</t>
  </si>
  <si>
    <t xml:space="preserve">Исправка на вред на рез</t>
  </si>
  <si>
    <t xml:space="preserve">Загуба поради оштетување</t>
  </si>
  <si>
    <t xml:space="preserve">Резервирања</t>
  </si>
  <si>
    <t xml:space="preserve">Останати корекции</t>
  </si>
  <si>
    <t xml:space="preserve">Рас./при од камати</t>
  </si>
  <si>
    <t xml:space="preserve">Дивиденди</t>
  </si>
  <si>
    <t xml:space="preserve">Удел во доб/заг од друштва</t>
  </si>
  <si>
    <t xml:space="preserve">Нето прилив/одлив</t>
  </si>
  <si>
    <t xml:space="preserve">Промени во деловната актива</t>
  </si>
  <si>
    <t xml:space="preserve">Дерив. За управуање со риз</t>
  </si>
  <si>
    <t xml:space="preserve">Кредити и поб од банки</t>
  </si>
  <si>
    <t xml:space="preserve">Кредити и поб од други ком</t>
  </si>
  <si>
    <t xml:space="preserve">Задолжени средства</t>
  </si>
  <si>
    <t xml:space="preserve">Превземени средства</t>
  </si>
  <si>
    <t xml:space="preserve">Зад. рез. Во странски валути</t>
  </si>
  <si>
    <t xml:space="preserve">Зад. Депозит кај НБРМ</t>
  </si>
  <si>
    <t xml:space="preserve">Нет. Средства за продажба</t>
  </si>
  <si>
    <t xml:space="preserve">Дерив. Обв за упр. Со ризик</t>
  </si>
  <si>
    <t xml:space="preserve">Депозити на други коминтети</t>
  </si>
  <si>
    <t xml:space="preserve">Останати обврски</t>
  </si>
  <si>
    <t xml:space="preserve">Обврски за отуѓување/прод.</t>
  </si>
  <si>
    <t xml:space="preserve">Инвестициони активности</t>
  </si>
  <si>
    <t xml:space="preserve">Вложување во хар. Од вре.</t>
  </si>
  <si>
    <t xml:space="preserve">Продажба на подружници</t>
  </si>
  <si>
    <t xml:space="preserve">При./Одл од немат. Средства</t>
  </si>
  <si>
    <t xml:space="preserve">Продражба на недвижнини</t>
  </si>
  <si>
    <t xml:space="preserve">Нетековни средства за прод.</t>
  </si>
  <si>
    <t xml:space="preserve">Останати приливи/одливи</t>
  </si>
  <si>
    <t xml:space="preserve">Финансиски активности</t>
  </si>
  <si>
    <t xml:space="preserve">Издавање на акции и сл</t>
  </si>
  <si>
    <t xml:space="preserve">Издавање на дол. Хартии</t>
  </si>
  <si>
    <t xml:space="preserve">Враќање на заеми</t>
  </si>
  <si>
    <t xml:space="preserve">При. од издадени дол. хартии од вредност и кредити</t>
  </si>
  <si>
    <t xml:space="preserve">Субординирани обврски</t>
  </si>
  <si>
    <t xml:space="preserve">Исплатена дивиденда</t>
  </si>
  <si>
    <t xml:space="preserve">Откуп/прод. на соп. акции</t>
  </si>
  <si>
    <t xml:space="preserve">Ост. Транс. од финансирање</t>
  </si>
  <si>
    <t xml:space="preserve">Нето парична промена</t>
  </si>
  <si>
    <t xml:space="preserve">Пари на почеток на годината</t>
  </si>
  <si>
    <t xml:space="preserve">Парична промена</t>
  </si>
  <si>
    <t xml:space="preserve">Пари на крај од годината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</si>
</sst>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#,##0"/>
    <numFmt numFmtId="167" formatCode="0%"/>
    <numFmt numFmtId="168" formatCode="0.0%"/>
    <numFmt numFmtId="169" formatCode="0.00%"/>
    <numFmt numFmtId="170" formatCode="#,##0.00;[RED]\-#,##0.00"/>
    <numFmt numFmtId="171" formatCode="0"/>
    <numFmt numFmtId="172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10"/>
      <color rgb="FF0000FF"/>
      <name val="Arial"/>
      <family val="2"/>
      <charset val="1"/>
    </font>
    <font>
      <sz val="8"/>
      <name val="Arial"/>
      <family val="2"/>
      <charset val="1"/>
    </font>
  </fonts>
  <fills count="30">
    <fill>
      <patternFill patternType="none"/>
    </fill>
    <fill>
      <patternFill patternType="gray125"/>
    </fill>
    <fill>
      <patternFill patternType="solid">
        <fgColor rgb="FFB2B2B2"/>
        <bgColor rgb="FFB7B3CA"/>
      </patternFill>
    </fill>
    <fill>
      <patternFill patternType="solid">
        <fgColor rgb="FF999999"/>
        <bgColor rgb="FF81ACA6"/>
      </patternFill>
    </fill>
    <fill>
      <patternFill patternType="solid">
        <fgColor rgb="FFF7D1D5"/>
        <bgColor rgb="FFFFDBB6"/>
      </patternFill>
    </fill>
    <fill>
      <patternFill patternType="solid">
        <fgColor rgb="FFBBE33D"/>
        <bgColor rgb="FFD4EA6B"/>
      </patternFill>
    </fill>
    <fill>
      <patternFill patternType="solid">
        <fgColor rgb="FF50938A"/>
        <bgColor rgb="FF729FCF"/>
      </patternFill>
    </fill>
    <fill>
      <patternFill patternType="solid">
        <fgColor rgb="FF8D1D75"/>
        <bgColor rgb="FF993366"/>
      </patternFill>
    </fill>
    <fill>
      <patternFill patternType="solid">
        <fgColor rgb="FFF6F9D4"/>
        <bgColor rgb="FFE8F2A1"/>
      </patternFill>
    </fill>
    <fill>
      <patternFill patternType="solid">
        <fgColor rgb="FFB4C7DC"/>
        <bgColor rgb="FFB3CAC7"/>
      </patternFill>
    </fill>
    <fill>
      <patternFill patternType="solid">
        <fgColor rgb="FFFFE994"/>
        <bgColor rgb="FFE8F2A1"/>
      </patternFill>
    </fill>
    <fill>
      <patternFill patternType="solid">
        <fgColor rgb="FFFFDBB6"/>
        <bgColor rgb="FFF7D1D5"/>
      </patternFill>
    </fill>
    <fill>
      <patternFill patternType="solid">
        <fgColor rgb="FFE8A202"/>
        <bgColor rgb="FFFFAA95"/>
      </patternFill>
    </fill>
    <fill>
      <patternFill patternType="solid">
        <fgColor rgb="FFD4EA6B"/>
        <bgColor rgb="FFBBE33D"/>
      </patternFill>
    </fill>
    <fill>
      <patternFill patternType="solid">
        <fgColor rgb="FFE8F2A1"/>
        <bgColor rgb="FFFFE994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6D"/>
      </patternFill>
    </fill>
    <fill>
      <patternFill patternType="solid">
        <fgColor rgb="FF2A6099"/>
        <bgColor rgb="FF666699"/>
      </patternFill>
    </fill>
    <fill>
      <patternFill patternType="solid">
        <fgColor rgb="FFDDDDDD"/>
        <bgColor rgb="FFF7D1D5"/>
      </patternFill>
    </fill>
    <fill>
      <patternFill patternType="solid">
        <fgColor rgb="FFEC9BA4"/>
        <bgColor rgb="FFFFAA95"/>
      </patternFill>
    </fill>
    <fill>
      <patternFill patternType="solid">
        <fgColor rgb="FFFF6D6D"/>
        <bgColor rgb="FFEC9BA4"/>
      </patternFill>
    </fill>
    <fill>
      <patternFill patternType="solid">
        <fgColor rgb="FFAFD095"/>
        <bgColor rgb="FFB3CAC7"/>
      </patternFill>
    </fill>
    <fill>
      <patternFill patternType="solid">
        <fgColor rgb="FF729FCF"/>
        <bgColor rgb="FF81ACA6"/>
      </patternFill>
    </fill>
    <fill>
      <patternFill patternType="solid">
        <fgColor rgb="FF81D41A"/>
        <bgColor rgb="FF77BC65"/>
      </patternFill>
    </fill>
    <fill>
      <patternFill patternType="solid">
        <fgColor rgb="FFB3CAC7"/>
        <bgColor rgb="FFB4C7DC"/>
      </patternFill>
    </fill>
    <fill>
      <patternFill patternType="solid">
        <fgColor rgb="FF77BC65"/>
        <bgColor rgb="FF81ACA6"/>
      </patternFill>
    </fill>
    <fill>
      <patternFill patternType="solid">
        <fgColor rgb="FFB7B3CA"/>
        <bgColor rgb="FFB2B2B2"/>
      </patternFill>
    </fill>
    <fill>
      <patternFill patternType="solid">
        <fgColor rgb="FF81ACA6"/>
        <bgColor rgb="FF729FCF"/>
      </patternFill>
    </fill>
    <fill>
      <patternFill patternType="solid">
        <fgColor rgb="FFFFAA95"/>
        <bgColor rgb="FFEC9BA4"/>
      </patternFill>
    </fill>
    <fill>
      <patternFill patternType="solid">
        <fgColor rgb="FFFFFF6D"/>
        <bgColor rgb="FFFFE994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1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4" fontId="0" fillId="2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</cellStyles>
  <colors>
    <indexedColors>
      <rgbColor rgb="FF000000"/>
      <rgbColor rgb="FFF7D1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AFD095"/>
      <rgbColor rgb="FF800080"/>
      <rgbColor rgb="FF008080"/>
      <rgbColor rgb="FFB3CAC7"/>
      <rgbColor rgb="FF81ACA6"/>
      <rgbColor rgb="FF729FCF"/>
      <rgbColor rgb="FF8D1D75"/>
      <rgbColor rgb="FFF6F9D4"/>
      <rgbColor rgb="FFDDDDDD"/>
      <rgbColor rgb="FF660066"/>
      <rgbColor rgb="FFFF6D6D"/>
      <rgbColor rgb="FF2A6099"/>
      <rgbColor rgb="FFB4C7DC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CCFF"/>
      <rgbColor rgb="FFFFE994"/>
      <rgbColor rgb="FFE8F2A1"/>
      <rgbColor rgb="FFFFFF6D"/>
      <rgbColor rgb="FFB2B2B2"/>
      <rgbColor rgb="FFEC9BA4"/>
      <rgbColor rgb="FFB7B3CA"/>
      <rgbColor rgb="FFFFDBB6"/>
      <rgbColor rgb="FF3366FF"/>
      <rgbColor rgb="FF77BC65"/>
      <rgbColor rgb="FF81D41A"/>
      <rgbColor rgb="FFBBE33D"/>
      <rgbColor rgb="FFE8A202"/>
      <rgbColor rgb="FFFFAA95"/>
      <rgbColor rgb="FF666699"/>
      <rgbColor rgb="FF999999"/>
      <rgbColor rgb="FF003366"/>
      <rgbColor rgb="FF50938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6.3"/>
    <col collapsed="false" customWidth="true" hidden="false" outlineLevel="0" max="2" min="2" style="0" width="17.27"/>
    <col collapsed="false" customWidth="true" hidden="false" outlineLevel="0" max="3" min="3" style="0" width="27.55"/>
    <col collapsed="false" customWidth="true" hidden="false" outlineLevel="0" max="4" min="4" style="0" width="18.77"/>
    <col collapsed="false" customWidth="true" hidden="false" outlineLevel="0" max="5" min="5" style="0" width="20.45"/>
    <col collapsed="false" customWidth="true" hidden="false" outlineLevel="0" max="6" min="6" style="0" width="3.45"/>
    <col collapsed="false" customWidth="true" hidden="false" outlineLevel="0" max="7" min="7" style="0" width="6.94"/>
    <col collapsed="false" customWidth="true" hidden="false" outlineLevel="0" max="8" min="8" style="0" width="10.12"/>
    <col collapsed="false" customWidth="true" hidden="false" outlineLevel="0" max="9" min="9" style="0" width="15.68"/>
    <col collapsed="false" customWidth="true" hidden="false" outlineLevel="0" max="12" min="12" style="1" width="12.8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2" t="s">
        <v>1</v>
      </c>
      <c r="B2" s="0" t="s">
        <v>2</v>
      </c>
      <c r="C2" s="3"/>
      <c r="D2" s="0" t="s">
        <v>3</v>
      </c>
      <c r="E2" s="4"/>
      <c r="F2" s="5"/>
      <c r="G2" s="6"/>
      <c r="H2" s="6"/>
      <c r="I2" s="6"/>
      <c r="J2" s="6"/>
      <c r="K2" s="6"/>
      <c r="L2" s="7"/>
      <c r="M2" s="6"/>
    </row>
    <row r="3" customFormat="false" ht="12.8" hidden="false" customHeight="false" outlineLevel="0" collapsed="false">
      <c r="A3" s="2" t="s">
        <v>4</v>
      </c>
      <c r="B3" s="0" t="s">
        <v>5</v>
      </c>
      <c r="C3" s="3"/>
      <c r="D3" s="0" t="s">
        <v>6</v>
      </c>
      <c r="E3" s="3"/>
      <c r="F3" s="6"/>
      <c r="G3" s="3" t="s">
        <v>7</v>
      </c>
      <c r="H3" s="8" t="s">
        <v>8</v>
      </c>
      <c r="I3" s="9" t="s">
        <v>9</v>
      </c>
      <c r="J3" s="8" t="s">
        <v>10</v>
      </c>
      <c r="K3" s="9" t="s">
        <v>9</v>
      </c>
      <c r="L3" s="8" t="s">
        <v>11</v>
      </c>
      <c r="M3" s="9" t="s">
        <v>9</v>
      </c>
    </row>
    <row r="4" customFormat="false" ht="12.8" hidden="false" customHeight="false" outlineLevel="0" collapsed="false">
      <c r="A4" s="2" t="s">
        <v>12</v>
      </c>
      <c r="C4" s="10"/>
      <c r="E4" s="10"/>
      <c r="F4" s="6"/>
      <c r="G4" s="4"/>
      <c r="H4" s="11"/>
      <c r="I4" s="12"/>
      <c r="J4" s="11"/>
      <c r="K4" s="12"/>
      <c r="L4" s="11"/>
      <c r="M4" s="12"/>
    </row>
    <row r="5" customFormat="false" ht="12.8" hidden="false" customHeight="false" outlineLevel="0" collapsed="false">
      <c r="D5" s="0" t="s">
        <v>13</v>
      </c>
      <c r="E5" s="13" t="n">
        <v>1400</v>
      </c>
      <c r="F5" s="6"/>
      <c r="G5" s="4"/>
      <c r="H5" s="14"/>
      <c r="I5" s="12"/>
      <c r="J5" s="14"/>
      <c r="K5" s="12"/>
      <c r="L5" s="11"/>
      <c r="M5" s="12"/>
    </row>
    <row r="6" customFormat="false" ht="12.8" hidden="false" customHeight="false" outlineLevel="0" collapsed="false">
      <c r="D6" s="0" t="s">
        <v>14</v>
      </c>
      <c r="E6" s="15" t="n">
        <f aca="false">17460180/1000</f>
        <v>17460.18</v>
      </c>
      <c r="F6" s="6"/>
      <c r="G6" s="4"/>
      <c r="H6" s="14"/>
      <c r="I6" s="12"/>
      <c r="J6" s="14"/>
      <c r="K6" s="12"/>
      <c r="L6" s="11"/>
      <c r="M6" s="12"/>
    </row>
    <row r="7" customFormat="false" ht="12.8" hidden="false" customHeight="false" outlineLevel="0" collapsed="false">
      <c r="D7" s="0" t="s">
        <v>15</v>
      </c>
      <c r="E7" s="16" t="n">
        <f aca="false">Средства!D29</f>
        <v>-14044196.4</v>
      </c>
      <c r="F7" s="6"/>
      <c r="G7" s="4"/>
      <c r="H7" s="14"/>
      <c r="I7" s="12"/>
      <c r="J7" s="14"/>
      <c r="K7" s="12"/>
      <c r="L7" s="11"/>
      <c r="M7" s="12"/>
    </row>
    <row r="8" customFormat="false" ht="12.8" hidden="false" customHeight="false" outlineLevel="0" collapsed="false">
      <c r="A8" s="6"/>
      <c r="B8" s="6"/>
      <c r="C8" s="6"/>
      <c r="D8" s="6"/>
      <c r="E8" s="6"/>
      <c r="F8" s="6"/>
      <c r="G8" s="4"/>
      <c r="H8" s="14"/>
      <c r="I8" s="12"/>
      <c r="J8" s="14"/>
      <c r="K8" s="12"/>
      <c r="L8" s="11"/>
      <c r="M8" s="12"/>
    </row>
    <row r="9" customFormat="false" ht="12.8" hidden="false" customHeight="false" outlineLevel="0" collapsed="false">
      <c r="A9" s="17" t="s">
        <v>16</v>
      </c>
      <c r="B9" s="17" t="s">
        <v>17</v>
      </c>
      <c r="C9" s="17" t="s">
        <v>18</v>
      </c>
      <c r="D9" s="18" t="s">
        <v>19</v>
      </c>
      <c r="E9" s="17" t="s">
        <v>20</v>
      </c>
      <c r="F9" s="6"/>
      <c r="G9" s="4"/>
      <c r="H9" s="14"/>
      <c r="I9" s="12"/>
      <c r="J9" s="14"/>
      <c r="K9" s="12"/>
      <c r="L9" s="11"/>
      <c r="M9" s="12"/>
    </row>
    <row r="10" customFormat="false" ht="12.8" hidden="false" customHeight="false" outlineLevel="0" collapsed="false">
      <c r="F10" s="6"/>
      <c r="G10" s="4"/>
      <c r="H10" s="11"/>
      <c r="I10" s="12"/>
      <c r="J10" s="11"/>
      <c r="K10" s="12"/>
      <c r="L10" s="11"/>
      <c r="M10" s="12"/>
    </row>
    <row r="11" customFormat="false" ht="12.8" hidden="false" customHeight="false" outlineLevel="0" collapsed="false">
      <c r="F11" s="6"/>
      <c r="G11" s="4"/>
      <c r="H11" s="14"/>
      <c r="I11" s="12"/>
      <c r="J11" s="14"/>
      <c r="K11" s="12"/>
      <c r="L11" s="11"/>
      <c r="M11" s="12"/>
    </row>
    <row r="12" customFormat="false" ht="12.8" hidden="false" customHeight="false" outlineLevel="0" collapsed="false">
      <c r="F12" s="6"/>
      <c r="G12" s="4"/>
      <c r="H12" s="14"/>
      <c r="I12" s="12"/>
      <c r="J12" s="14"/>
      <c r="K12" s="12"/>
      <c r="L12" s="11"/>
      <c r="M12" s="12"/>
    </row>
    <row r="13" customFormat="false" ht="12.8" hidden="false" customHeight="false" outlineLevel="0" collapsed="false">
      <c r="F13" s="6"/>
      <c r="G13" s="4"/>
      <c r="H13" s="14"/>
      <c r="I13" s="12"/>
      <c r="J13" s="14"/>
      <c r="K13" s="12"/>
      <c r="L13" s="11"/>
      <c r="M13" s="12"/>
    </row>
    <row r="14" customFormat="false" ht="12.8" hidden="false" customHeight="false" outlineLevel="0" collapsed="false">
      <c r="F14" s="6"/>
      <c r="G14" s="4"/>
      <c r="H14" s="14"/>
      <c r="I14" s="12"/>
      <c r="J14" s="14"/>
      <c r="K14" s="12"/>
      <c r="L14" s="11"/>
      <c r="M14" s="12"/>
    </row>
    <row r="15" customFormat="false" ht="12.8" hidden="false" customHeight="false" outlineLevel="0" collapsed="false">
      <c r="F15" s="6"/>
      <c r="G15" s="4"/>
      <c r="H15" s="14"/>
      <c r="I15" s="12"/>
      <c r="J15" s="14"/>
      <c r="K15" s="12"/>
      <c r="L15" s="11"/>
      <c r="M15" s="12"/>
    </row>
  </sheetData>
  <hyperlinks>
    <hyperlink ref="A2" location="Готовински принос" display="Готвински принос"/>
    <hyperlink ref="A3" location="Средства" display="Средства"/>
    <hyperlink ref="A4" location="Бонитет и насока" display="Бонитет и насока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0" activePane="bottomRight" state="frozen"/>
      <selection pane="topLeft" activeCell="A1" activeCellId="0" sqref="A1"/>
      <selection pane="topRight" activeCell="B1" activeCellId="0" sqref="B1"/>
      <selection pane="bottomLeft" activeCell="A20" activeCellId="0" sqref="A20"/>
      <selection pane="bottomRight" activeCell="D44" activeCellId="0" sqref="D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63"/>
    <col collapsed="false" customWidth="false" hidden="false" outlineLevel="0" max="14" min="3" style="1" width="11.52"/>
    <col collapsed="false" customWidth="true" hidden="false" outlineLevel="0" max="28" min="15" style="0" width="11.69"/>
  </cols>
  <sheetData>
    <row r="1" customFormat="false" ht="12.8" hidden="false" customHeight="false" outlineLevel="0" collapsed="false">
      <c r="A1" s="2" t="s">
        <v>21</v>
      </c>
      <c r="B1" s="8" t="n">
        <v>2019</v>
      </c>
      <c r="C1" s="8" t="s">
        <v>22</v>
      </c>
      <c r="D1" s="19" t="s">
        <v>23</v>
      </c>
      <c r="E1" s="1" t="s">
        <v>24</v>
      </c>
      <c r="F1" s="20" t="s">
        <v>25</v>
      </c>
      <c r="G1" s="1" t="n">
        <v>2020</v>
      </c>
      <c r="H1" s="8" t="s">
        <v>26</v>
      </c>
      <c r="I1" s="1" t="s">
        <v>27</v>
      </c>
      <c r="J1" s="1" t="s">
        <v>28</v>
      </c>
      <c r="K1" s="20" t="s">
        <v>29</v>
      </c>
      <c r="L1" s="1" t="n">
        <v>2021</v>
      </c>
      <c r="M1" s="1" t="s">
        <v>30</v>
      </c>
      <c r="N1" s="21"/>
      <c r="O1" s="8" t="n">
        <v>2019</v>
      </c>
      <c r="P1" s="22" t="n">
        <v>2020</v>
      </c>
      <c r="Q1" s="22" t="n">
        <v>2021</v>
      </c>
      <c r="R1" s="22" t="n">
        <v>2022</v>
      </c>
      <c r="S1" s="22" t="n">
        <v>2023</v>
      </c>
      <c r="T1" s="22" t="n">
        <v>2024</v>
      </c>
      <c r="U1" s="22" t="n">
        <v>2025</v>
      </c>
      <c r="V1" s="22" t="n">
        <v>2026</v>
      </c>
      <c r="W1" s="22" t="n">
        <v>2027</v>
      </c>
      <c r="X1" s="22" t="n">
        <v>2028</v>
      </c>
      <c r="Y1" s="22" t="n">
        <v>2029</v>
      </c>
      <c r="Z1" s="22" t="n">
        <v>2030</v>
      </c>
      <c r="AA1" s="22" t="n">
        <v>2031</v>
      </c>
      <c r="AB1" s="22" t="n">
        <v>2032</v>
      </c>
    </row>
    <row r="2" customFormat="false" ht="12.8" hidden="false" customHeight="false" outlineLevel="0" collapsed="false">
      <c r="N2" s="21"/>
      <c r="P2" s="1"/>
      <c r="Q2" s="1"/>
    </row>
    <row r="3" customFormat="false" ht="12.8" hidden="false" customHeight="false" outlineLevel="0" collapsed="false">
      <c r="A3" s="23" t="s">
        <v>31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1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customFormat="false" ht="12.8" hidden="false" customHeight="false" outlineLevel="0" collapsed="false">
      <c r="A4" s="0" t="s">
        <v>32</v>
      </c>
      <c r="B4" s="24" t="n">
        <v>4206816</v>
      </c>
      <c r="C4" s="24" t="n">
        <v>1049035</v>
      </c>
      <c r="D4" s="24" t="n">
        <f aca="false">2065609-C4</f>
        <v>1016574</v>
      </c>
      <c r="E4" s="24" t="n">
        <f aca="false">3098804-(D4+C4)</f>
        <v>1033195</v>
      </c>
      <c r="F4" s="24" t="n">
        <f aca="false">(4136546)-(E4+D4+C4)</f>
        <v>1037742</v>
      </c>
      <c r="G4" s="25" t="n">
        <f aca="false">SUM(C4:F4)</f>
        <v>4136546</v>
      </c>
      <c r="H4" s="24" t="n">
        <v>1001724</v>
      </c>
      <c r="I4" s="24" t="n">
        <f aca="false">2024323-H4</f>
        <v>1022599</v>
      </c>
      <c r="J4" s="24" t="n">
        <f aca="false">3064129-(I4+H4)</f>
        <v>1039806</v>
      </c>
      <c r="K4" s="24" t="n">
        <f aca="false">(4113872)-(J4+I4+H4)</f>
        <v>1049743</v>
      </c>
      <c r="L4" s="25" t="n">
        <f aca="false">SUM(H4:K4)</f>
        <v>4113872</v>
      </c>
      <c r="M4" s="24" t="n">
        <v>1043699</v>
      </c>
      <c r="N4" s="21"/>
      <c r="O4" s="24" t="n">
        <v>4206816</v>
      </c>
      <c r="P4" s="25" t="n">
        <f aca="false">G4</f>
        <v>4136546</v>
      </c>
      <c r="Q4" s="25" t="n">
        <f aca="false">L4</f>
        <v>4113872</v>
      </c>
      <c r="R4" s="25" t="n">
        <f aca="false">Q4*0.99</f>
        <v>4072733.28</v>
      </c>
      <c r="S4" s="25" t="n">
        <f aca="false">R4*0.99</f>
        <v>4032005.9472</v>
      </c>
      <c r="T4" s="25" t="n">
        <f aca="false">S4*0.99</f>
        <v>3991685.887728</v>
      </c>
      <c r="U4" s="25" t="n">
        <f aca="false">T4*0.99</f>
        <v>3951769.02885072</v>
      </c>
      <c r="V4" s="25" t="n">
        <f aca="false">U4*0.99</f>
        <v>3912251.33856221</v>
      </c>
      <c r="W4" s="25" t="n">
        <f aca="false">V4*0.99</f>
        <v>3873128.82517659</v>
      </c>
      <c r="X4" s="25" t="n">
        <f aca="false">W4*0.99</f>
        <v>3834397.53692482</v>
      </c>
      <c r="Y4" s="25" t="n">
        <f aca="false">X4*0.99</f>
        <v>3796053.56155558</v>
      </c>
      <c r="Z4" s="25" t="n">
        <f aca="false">Y4*0.99</f>
        <v>3758093.02594002</v>
      </c>
      <c r="AA4" s="25" t="n">
        <f aca="false">Z4*0.99</f>
        <v>3720512.09568062</v>
      </c>
      <c r="AB4" s="25" t="n">
        <f aca="false">AA4*0.99</f>
        <v>3683306.97472381</v>
      </c>
    </row>
    <row r="5" customFormat="false" ht="12.8" hidden="false" customHeight="false" outlineLevel="0" collapsed="false">
      <c r="A5" s="0" t="s">
        <v>33</v>
      </c>
      <c r="B5" s="24" t="n">
        <v>595762</v>
      </c>
      <c r="C5" s="24" t="n">
        <v>120067</v>
      </c>
      <c r="D5" s="24" t="n">
        <f aca="false">(227244)-C5</f>
        <v>107177</v>
      </c>
      <c r="E5" s="24" t="n">
        <f aca="false">(329736)-(D5+C5)</f>
        <v>102492</v>
      </c>
      <c r="F5" s="24" t="n">
        <f aca="false">(419849)-(E5+D5+C5)</f>
        <v>90113</v>
      </c>
      <c r="G5" s="25" t="n">
        <f aca="false">SUM(C5:F5)</f>
        <v>419849</v>
      </c>
      <c r="H5" s="24" t="n">
        <v>82739</v>
      </c>
      <c r="I5" s="24" t="n">
        <f aca="false">(153337)-H5</f>
        <v>70598</v>
      </c>
      <c r="J5" s="24" t="n">
        <f aca="false">(214175)-(I5+H5)</f>
        <v>60838</v>
      </c>
      <c r="K5" s="24" t="n">
        <f aca="false">(269831)-(J5+I5+H5)</f>
        <v>55656</v>
      </c>
      <c r="L5" s="25" t="n">
        <f aca="false">SUM(H5:K5)</f>
        <v>269831</v>
      </c>
      <c r="M5" s="24" t="n">
        <v>52146</v>
      </c>
      <c r="N5" s="21"/>
      <c r="O5" s="24" t="n">
        <v>595762</v>
      </c>
      <c r="P5" s="25" t="n">
        <f aca="false">G5</f>
        <v>419849</v>
      </c>
      <c r="Q5" s="25" t="n">
        <f aca="false">L5</f>
        <v>269831</v>
      </c>
      <c r="R5" s="25" t="n">
        <f aca="false">Q5*0.99</f>
        <v>267132.69</v>
      </c>
      <c r="S5" s="25" t="n">
        <f aca="false">R5*0.99</f>
        <v>264461.3631</v>
      </c>
      <c r="T5" s="25" t="n">
        <f aca="false">S5*0.99</f>
        <v>261816.749469</v>
      </c>
      <c r="U5" s="25" t="n">
        <f aca="false">T5*0.99</f>
        <v>259198.58197431</v>
      </c>
      <c r="V5" s="25" t="n">
        <f aca="false">U5*0.99</f>
        <v>256606.596154567</v>
      </c>
      <c r="W5" s="25" t="n">
        <f aca="false">V5*0.99</f>
        <v>254040.530193021</v>
      </c>
      <c r="X5" s="25" t="n">
        <f aca="false">W5*0.99</f>
        <v>251500.124891091</v>
      </c>
      <c r="Y5" s="25" t="n">
        <f aca="false">X5*0.99</f>
        <v>248985.12364218</v>
      </c>
      <c r="Z5" s="25" t="n">
        <f aca="false">Y5*0.99</f>
        <v>246495.272405758</v>
      </c>
      <c r="AA5" s="25" t="n">
        <f aca="false">Z5*0.99</f>
        <v>244030.319681701</v>
      </c>
      <c r="AB5" s="25" t="n">
        <f aca="false">AA5*0.99</f>
        <v>241590.016484884</v>
      </c>
    </row>
    <row r="6" customFormat="false" ht="12.8" hidden="false" customHeight="false" outlineLevel="0" collapsed="false">
      <c r="A6" s="26" t="s">
        <v>34</v>
      </c>
      <c r="B6" s="27" t="n">
        <f aca="false">+B4-B5</f>
        <v>3611054</v>
      </c>
      <c r="C6" s="27" t="n">
        <f aca="false">+C4-C5</f>
        <v>928968</v>
      </c>
      <c r="D6" s="27" t="n">
        <f aca="false">+D4-D5</f>
        <v>909397</v>
      </c>
      <c r="E6" s="27" t="n">
        <f aca="false">+E4-E5</f>
        <v>930703</v>
      </c>
      <c r="F6" s="27" t="n">
        <f aca="false">+F4-F5</f>
        <v>947629</v>
      </c>
      <c r="G6" s="28" t="n">
        <f aca="false">SUM(C6:F6)</f>
        <v>3716697</v>
      </c>
      <c r="H6" s="27" t="n">
        <f aca="false">+H4-H5</f>
        <v>918985</v>
      </c>
      <c r="I6" s="27" t="n">
        <f aca="false">+I4-I5</f>
        <v>952001</v>
      </c>
      <c r="J6" s="27" t="n">
        <f aca="false">+J4-J5</f>
        <v>978968</v>
      </c>
      <c r="K6" s="27" t="n">
        <f aca="false">+K4-K5</f>
        <v>994087</v>
      </c>
      <c r="L6" s="28" t="n">
        <f aca="false">SUM(H6:K6)</f>
        <v>3844041</v>
      </c>
      <c r="M6" s="27" t="n">
        <f aca="false">+M4-M5</f>
        <v>991553</v>
      </c>
      <c r="N6" s="21"/>
      <c r="O6" s="27" t="n">
        <f aca="false">+O4-O5</f>
        <v>3611054</v>
      </c>
      <c r="P6" s="29" t="n">
        <f aca="false">G6</f>
        <v>3716697</v>
      </c>
      <c r="Q6" s="29" t="n">
        <f aca="false">L6</f>
        <v>3844041</v>
      </c>
      <c r="R6" s="29" t="n">
        <f aca="false">Q6*0.99</f>
        <v>3805600.59</v>
      </c>
      <c r="S6" s="29" t="n">
        <f aca="false">R6*0.99</f>
        <v>3767544.5841</v>
      </c>
      <c r="T6" s="29" t="n">
        <f aca="false">S6*0.99</f>
        <v>3729869.138259</v>
      </c>
      <c r="U6" s="29" t="n">
        <f aca="false">T6*0.99</f>
        <v>3692570.44687641</v>
      </c>
      <c r="V6" s="29" t="n">
        <f aca="false">U6*0.99</f>
        <v>3655644.74240765</v>
      </c>
      <c r="W6" s="29" t="n">
        <f aca="false">V6*0.99</f>
        <v>3619088.29498357</v>
      </c>
      <c r="X6" s="29" t="n">
        <f aca="false">W6*0.99</f>
        <v>3582897.41203373</v>
      </c>
      <c r="Y6" s="29" t="n">
        <f aca="false">X6*0.99</f>
        <v>3547068.4379134</v>
      </c>
      <c r="Z6" s="29" t="n">
        <f aca="false">Y6*0.99</f>
        <v>3511597.75353426</v>
      </c>
      <c r="AA6" s="29" t="n">
        <f aca="false">Z6*0.99</f>
        <v>3476481.77599892</v>
      </c>
      <c r="AB6" s="29" t="n">
        <f aca="false">AA6*0.99</f>
        <v>3441716.95823893</v>
      </c>
    </row>
    <row r="7" customFormat="false" ht="12.8" hidden="false" customHeight="false" outlineLevel="0" collapsed="false">
      <c r="A7" s="0" t="s">
        <v>35</v>
      </c>
      <c r="B7" s="24" t="n">
        <v>1262912</v>
      </c>
      <c r="C7" s="24" t="n">
        <v>299935</v>
      </c>
      <c r="D7" s="24" t="n">
        <f aca="false">563911-C7</f>
        <v>263976</v>
      </c>
      <c r="E7" s="24" t="n">
        <f aca="false">874136-(D7+C7)</f>
        <v>310225</v>
      </c>
      <c r="F7" s="24" t="n">
        <f aca="false">(1219782)-(E7+D7+C7)</f>
        <v>345646</v>
      </c>
      <c r="G7" s="25" t="n">
        <f aca="false">SUM(C7:F7)</f>
        <v>1219782</v>
      </c>
      <c r="H7" s="24" t="n">
        <v>345365</v>
      </c>
      <c r="I7" s="24" t="n">
        <f aca="false">680193-H7</f>
        <v>334828</v>
      </c>
      <c r="J7" s="24" t="n">
        <f aca="false">1055359-(I7+H7)</f>
        <v>375166</v>
      </c>
      <c r="K7" s="24" t="n">
        <f aca="false">(1439240)-(J7+I7+H7)</f>
        <v>383881</v>
      </c>
      <c r="L7" s="25" t="n">
        <f aca="false">SUM(H7:K7)</f>
        <v>1439240</v>
      </c>
      <c r="M7" s="24" t="n">
        <v>358534</v>
      </c>
      <c r="N7" s="21"/>
      <c r="O7" s="24" t="n">
        <v>1262912</v>
      </c>
      <c r="P7" s="25" t="n">
        <f aca="false">G7</f>
        <v>1219782</v>
      </c>
      <c r="Q7" s="25" t="n">
        <f aca="false">L7</f>
        <v>1439240</v>
      </c>
      <c r="R7" s="25" t="n">
        <f aca="false">Q7*0.99</f>
        <v>1424847.6</v>
      </c>
      <c r="S7" s="25" t="n">
        <f aca="false">R7*0.99</f>
        <v>1410599.124</v>
      </c>
      <c r="T7" s="25" t="n">
        <f aca="false">S7*0.99</f>
        <v>1396493.13276</v>
      </c>
      <c r="U7" s="25" t="n">
        <f aca="false">T7*0.99</f>
        <v>1382528.2014324</v>
      </c>
      <c r="V7" s="25" t="n">
        <f aca="false">U7*0.99</f>
        <v>1368702.91941808</v>
      </c>
      <c r="W7" s="25" t="n">
        <f aca="false">V7*0.99</f>
        <v>1355015.8902239</v>
      </c>
      <c r="X7" s="25" t="n">
        <f aca="false">W7*0.99</f>
        <v>1341465.73132166</v>
      </c>
      <c r="Y7" s="25" t="n">
        <f aca="false">X7*0.99</f>
        <v>1328051.07400844</v>
      </c>
      <c r="Z7" s="25" t="n">
        <f aca="false">Y7*0.99</f>
        <v>1314770.56326836</v>
      </c>
      <c r="AA7" s="25" t="n">
        <f aca="false">Z7*0.99</f>
        <v>1301622.85763567</v>
      </c>
      <c r="AB7" s="25" t="n">
        <f aca="false">AA7*0.99</f>
        <v>1288606.62905931</v>
      </c>
    </row>
    <row r="8" customFormat="false" ht="12.8" hidden="false" customHeight="false" outlineLevel="0" collapsed="false">
      <c r="A8" s="30" t="s">
        <v>36</v>
      </c>
      <c r="B8" s="24" t="n">
        <v>437122</v>
      </c>
      <c r="C8" s="24" t="n">
        <v>112538</v>
      </c>
      <c r="D8" s="24" t="n">
        <f aca="false">210057-C8</f>
        <v>97519</v>
      </c>
      <c r="E8" s="24" t="n">
        <f aca="false">328516-(D8+C8)</f>
        <v>118459</v>
      </c>
      <c r="F8" s="24" t="n">
        <f aca="false">(481156)-(E8+D8+C8)</f>
        <v>152640</v>
      </c>
      <c r="G8" s="25" t="n">
        <f aca="false">SUM(C8:F8)</f>
        <v>481156</v>
      </c>
      <c r="H8" s="24" t="n">
        <v>141975</v>
      </c>
      <c r="I8" s="24" t="n">
        <f aca="false">288460-H8</f>
        <v>146485</v>
      </c>
      <c r="J8" s="24" t="n">
        <f aca="false">417080-(I8+H8)</f>
        <v>128620</v>
      </c>
      <c r="K8" s="24" t="n">
        <f aca="false">(607750)-(J8+I8+H8)</f>
        <v>190670</v>
      </c>
      <c r="L8" s="25" t="n">
        <f aca="false">SUM(H8:K8)</f>
        <v>607750</v>
      </c>
      <c r="M8" s="24" t="n">
        <v>144291</v>
      </c>
      <c r="N8" s="21"/>
      <c r="O8" s="24" t="n">
        <v>437122</v>
      </c>
      <c r="P8" s="25" t="n">
        <f aca="false">G8</f>
        <v>481156</v>
      </c>
      <c r="Q8" s="25" t="n">
        <f aca="false">L8</f>
        <v>607750</v>
      </c>
      <c r="R8" s="25" t="n">
        <f aca="false">Q8*0.99</f>
        <v>601672.5</v>
      </c>
      <c r="S8" s="25" t="n">
        <f aca="false">R8*0.99</f>
        <v>595655.775</v>
      </c>
      <c r="T8" s="25" t="n">
        <f aca="false">S8*0.99</f>
        <v>589699.21725</v>
      </c>
      <c r="U8" s="25" t="n">
        <f aca="false">T8*0.99</f>
        <v>583802.2250775</v>
      </c>
      <c r="V8" s="25" t="n">
        <f aca="false">U8*0.99</f>
        <v>577964.202826725</v>
      </c>
      <c r="W8" s="25" t="n">
        <f aca="false">V8*0.99</f>
        <v>572184.560798458</v>
      </c>
      <c r="X8" s="25" t="n">
        <f aca="false">W8*0.99</f>
        <v>566462.715190473</v>
      </c>
      <c r="Y8" s="25" t="n">
        <f aca="false">X8*0.99</f>
        <v>560798.088038568</v>
      </c>
      <c r="Z8" s="25" t="n">
        <f aca="false">Y8*0.99</f>
        <v>555190.107158183</v>
      </c>
      <c r="AA8" s="25" t="n">
        <f aca="false">Z8*0.99</f>
        <v>549638.206086601</v>
      </c>
      <c r="AB8" s="25" t="n">
        <f aca="false">AA8*0.99</f>
        <v>544141.824025735</v>
      </c>
    </row>
    <row r="9" customFormat="false" ht="12.8" hidden="false" customHeight="false" outlineLevel="0" collapsed="false">
      <c r="A9" s="31" t="s">
        <v>37</v>
      </c>
      <c r="B9" s="27" t="n">
        <f aca="false">+B7-B8</f>
        <v>825790</v>
      </c>
      <c r="C9" s="27" t="n">
        <f aca="false">+C7-C8</f>
        <v>187397</v>
      </c>
      <c r="D9" s="27" t="n">
        <f aca="false">+D7-D8</f>
        <v>166457</v>
      </c>
      <c r="E9" s="27" t="n">
        <f aca="false">+E7-E8</f>
        <v>191766</v>
      </c>
      <c r="F9" s="27" t="n">
        <f aca="false">+F7-F8</f>
        <v>193006</v>
      </c>
      <c r="G9" s="28" t="n">
        <f aca="false">SUM(C9:F9)</f>
        <v>738626</v>
      </c>
      <c r="H9" s="27" t="n">
        <f aca="false">+H7-H8</f>
        <v>203390</v>
      </c>
      <c r="I9" s="27" t="n">
        <f aca="false">+I7-I8</f>
        <v>188343</v>
      </c>
      <c r="J9" s="27" t="n">
        <f aca="false">+J7-J8</f>
        <v>246546</v>
      </c>
      <c r="K9" s="27" t="n">
        <f aca="false">+K7-K8</f>
        <v>193211</v>
      </c>
      <c r="L9" s="28" t="n">
        <f aca="false">SUM(H9:K9)</f>
        <v>831490</v>
      </c>
      <c r="M9" s="27" t="n">
        <f aca="false">+M7-M8</f>
        <v>214243</v>
      </c>
      <c r="N9" s="21"/>
      <c r="O9" s="27" t="n">
        <f aca="false">+O7-O8</f>
        <v>825790</v>
      </c>
      <c r="P9" s="29" t="n">
        <f aca="false">G9</f>
        <v>738626</v>
      </c>
      <c r="Q9" s="29" t="n">
        <f aca="false">L9</f>
        <v>831490</v>
      </c>
      <c r="R9" s="29" t="n">
        <f aca="false">Q9*0.99</f>
        <v>823175.1</v>
      </c>
      <c r="S9" s="29" t="n">
        <f aca="false">R9*0.99</f>
        <v>814943.349</v>
      </c>
      <c r="T9" s="29" t="n">
        <f aca="false">S9*0.99</f>
        <v>806793.91551</v>
      </c>
      <c r="U9" s="29" t="n">
        <f aca="false">T9*0.99</f>
        <v>798725.9763549</v>
      </c>
      <c r="V9" s="29" t="n">
        <f aca="false">U9*0.99</f>
        <v>790738.716591351</v>
      </c>
      <c r="W9" s="29" t="n">
        <f aca="false">V9*0.99</f>
        <v>782831.329425438</v>
      </c>
      <c r="X9" s="29" t="n">
        <f aca="false">W9*0.99</f>
        <v>775003.016131183</v>
      </c>
      <c r="Y9" s="29" t="n">
        <f aca="false">X9*0.99</f>
        <v>767252.985969871</v>
      </c>
      <c r="Z9" s="29" t="n">
        <f aca="false">Y9*0.99</f>
        <v>759580.456110173</v>
      </c>
      <c r="AA9" s="29" t="n">
        <f aca="false">Z9*0.99</f>
        <v>751984.651549071</v>
      </c>
      <c r="AB9" s="29" t="n">
        <f aca="false">AA9*0.99</f>
        <v>744464.80503358</v>
      </c>
    </row>
    <row r="10" customFormat="false" ht="12.8" hidden="false" customHeight="false" outlineLevel="0" collapsed="false">
      <c r="A10" s="0" t="s">
        <v>38</v>
      </c>
      <c r="B10" s="24" t="n">
        <v>-1853</v>
      </c>
      <c r="C10" s="24" t="n">
        <v>-1020</v>
      </c>
      <c r="D10" s="24" t="n">
        <f aca="false">-895-C10</f>
        <v>125</v>
      </c>
      <c r="E10" s="24" t="n">
        <f aca="false">-1078-(D10+C10)</f>
        <v>-183</v>
      </c>
      <c r="F10" s="24" t="n">
        <f aca="false">(-1077)-(E10+D10+C10)</f>
        <v>1</v>
      </c>
      <c r="G10" s="25" t="n">
        <f aca="false">SUM(C10:F10)</f>
        <v>-1077</v>
      </c>
      <c r="H10" s="24" t="n">
        <v>-352</v>
      </c>
      <c r="I10" s="24" t="n">
        <f aca="false">-351-H10</f>
        <v>1</v>
      </c>
      <c r="J10" s="24" t="n">
        <f aca="false">-486-(I10+H10)</f>
        <v>-135</v>
      </c>
      <c r="K10" s="24" t="n">
        <f aca="false">(-696)-(J10+I10+H10)</f>
        <v>-210</v>
      </c>
      <c r="L10" s="25" t="n">
        <f aca="false">SUM(H10:K10)</f>
        <v>-696</v>
      </c>
      <c r="M10" s="24" t="n">
        <v>-3</v>
      </c>
      <c r="N10" s="21"/>
      <c r="O10" s="24" t="n">
        <v>-1853</v>
      </c>
      <c r="P10" s="25" t="n">
        <f aca="false">G10</f>
        <v>-1077</v>
      </c>
      <c r="Q10" s="25" t="n">
        <f aca="false">L10</f>
        <v>-696</v>
      </c>
      <c r="R10" s="25" t="n">
        <f aca="false">Q10*0.99</f>
        <v>-689.04</v>
      </c>
      <c r="S10" s="25" t="n">
        <f aca="false">R10*0.99</f>
        <v>-682.1496</v>
      </c>
      <c r="T10" s="25" t="n">
        <f aca="false">S10*0.99</f>
        <v>-675.328104</v>
      </c>
      <c r="U10" s="25" t="n">
        <f aca="false">T10*0.99</f>
        <v>-668.57482296</v>
      </c>
      <c r="V10" s="25" t="n">
        <f aca="false">U10*0.99</f>
        <v>-661.8890747304</v>
      </c>
      <c r="W10" s="25" t="n">
        <f aca="false">V10*0.99</f>
        <v>-655.270183983096</v>
      </c>
      <c r="X10" s="25" t="n">
        <f aca="false">W10*0.99</f>
        <v>-648.717482143265</v>
      </c>
      <c r="Y10" s="25" t="n">
        <f aca="false">X10*0.99</f>
        <v>-642.230307321832</v>
      </c>
      <c r="Z10" s="25" t="n">
        <f aca="false">Y10*0.99</f>
        <v>-635.808004248614</v>
      </c>
      <c r="AA10" s="25" t="n">
        <f aca="false">Z10*0.99</f>
        <v>-629.449924206128</v>
      </c>
      <c r="AB10" s="25" t="n">
        <f aca="false">AA10*0.99</f>
        <v>-623.155424964066</v>
      </c>
    </row>
    <row r="11" customFormat="false" ht="12.8" hidden="false" customHeight="false" outlineLevel="0" collapsed="false">
      <c r="A11" s="0" t="s">
        <v>39</v>
      </c>
      <c r="B11" s="24" t="n">
        <v>0</v>
      </c>
      <c r="C11" s="24" t="n">
        <v>0</v>
      </c>
      <c r="D11" s="24" t="n">
        <f aca="false">0-C11</f>
        <v>0</v>
      </c>
      <c r="E11" s="24" t="n">
        <f aca="false">0-(D11+C11)</f>
        <v>0</v>
      </c>
      <c r="F11" s="24" t="n">
        <f aca="false">(0)-(E11+D11+C11)</f>
        <v>0</v>
      </c>
      <c r="G11" s="25" t="n">
        <f aca="false">SUM(C11:F11)</f>
        <v>0</v>
      </c>
      <c r="H11" s="24" t="n">
        <v>0</v>
      </c>
      <c r="I11" s="24" t="n">
        <f aca="false">0-H11</f>
        <v>0</v>
      </c>
      <c r="J11" s="24" t="n">
        <f aca="false">0-(I11+H11)</f>
        <v>0</v>
      </c>
      <c r="K11" s="24" t="n">
        <f aca="false">(0)-(J11+I11+H11)</f>
        <v>0</v>
      </c>
      <c r="L11" s="25" t="n">
        <f aca="false">SUM(H11:K11)</f>
        <v>0</v>
      </c>
      <c r="M11" s="24" t="n">
        <v>0</v>
      </c>
      <c r="N11" s="21"/>
      <c r="O11" s="24" t="n">
        <v>0</v>
      </c>
      <c r="P11" s="25" t="n">
        <f aca="false">G11</f>
        <v>0</v>
      </c>
      <c r="Q11" s="25" t="n">
        <f aca="false">L11</f>
        <v>0</v>
      </c>
      <c r="R11" s="25" t="n">
        <f aca="false">Q11*0.99</f>
        <v>0</v>
      </c>
      <c r="S11" s="25" t="n">
        <f aca="false">R11*0.99</f>
        <v>0</v>
      </c>
      <c r="T11" s="25" t="n">
        <f aca="false">S11*0.99</f>
        <v>0</v>
      </c>
      <c r="U11" s="25" t="n">
        <f aca="false">T11*0.99</f>
        <v>0</v>
      </c>
      <c r="V11" s="25" t="n">
        <f aca="false">U11*0.99</f>
        <v>0</v>
      </c>
      <c r="W11" s="25" t="n">
        <f aca="false">V11*0.99</f>
        <v>0</v>
      </c>
      <c r="X11" s="25" t="n">
        <f aca="false">W11*0.99</f>
        <v>0</v>
      </c>
      <c r="Y11" s="25" t="n">
        <f aca="false">X11*0.99</f>
        <v>0</v>
      </c>
      <c r="Z11" s="25" t="n">
        <f aca="false">Y11*0.99</f>
        <v>0</v>
      </c>
      <c r="AA11" s="25" t="n">
        <f aca="false">Z11*0.99</f>
        <v>0</v>
      </c>
      <c r="AB11" s="25" t="n">
        <f aca="false">AA11*0.99</f>
        <v>0</v>
      </c>
    </row>
    <row r="12" customFormat="false" ht="12.8" hidden="false" customHeight="false" outlineLevel="0" collapsed="false">
      <c r="A12" s="0" t="s">
        <v>40</v>
      </c>
      <c r="B12" s="24" t="n">
        <v>91300</v>
      </c>
      <c r="C12" s="24" t="n">
        <v>30519</v>
      </c>
      <c r="D12" s="24" t="n">
        <f aca="false">47702-C12</f>
        <v>17183</v>
      </c>
      <c r="E12" s="24" t="n">
        <f aca="false">69908-(D12+C12)</f>
        <v>22206</v>
      </c>
      <c r="F12" s="24" t="n">
        <f aca="false">(101630)-(E12+D12+C12)</f>
        <v>31722</v>
      </c>
      <c r="G12" s="25" t="n">
        <f aca="false">SUM(C12:F12)</f>
        <v>101630</v>
      </c>
      <c r="H12" s="24" t="n">
        <v>2985</v>
      </c>
      <c r="I12" s="24" t="n">
        <f aca="false">61073-H12</f>
        <v>58088</v>
      </c>
      <c r="J12" s="24" t="n">
        <f aca="false">97569-(I12+H12)</f>
        <v>36496</v>
      </c>
      <c r="K12" s="24" t="n">
        <f aca="false">(110078)-(J12+I12+H12)</f>
        <v>12509</v>
      </c>
      <c r="L12" s="25" t="n">
        <f aca="false">SUM(H12:K12)</f>
        <v>110078</v>
      </c>
      <c r="M12" s="24" t="n">
        <v>41712</v>
      </c>
      <c r="N12" s="21"/>
      <c r="O12" s="24" t="n">
        <v>91300</v>
      </c>
      <c r="P12" s="25" t="n">
        <f aca="false">G12</f>
        <v>101630</v>
      </c>
      <c r="Q12" s="25" t="n">
        <f aca="false">L12</f>
        <v>110078</v>
      </c>
      <c r="R12" s="25" t="n">
        <f aca="false">Q12*0.99</f>
        <v>108977.22</v>
      </c>
      <c r="S12" s="25" t="n">
        <f aca="false">R12*0.99</f>
        <v>107887.4478</v>
      </c>
      <c r="T12" s="25" t="n">
        <f aca="false">S12*0.99</f>
        <v>106808.573322</v>
      </c>
      <c r="U12" s="25" t="n">
        <f aca="false">T12*0.99</f>
        <v>105740.48758878</v>
      </c>
      <c r="V12" s="25" t="n">
        <f aca="false">U12*0.99</f>
        <v>104683.082712892</v>
      </c>
      <c r="W12" s="25" t="n">
        <f aca="false">V12*0.99</f>
        <v>103636.251885763</v>
      </c>
      <c r="X12" s="25" t="n">
        <f aca="false">W12*0.99</f>
        <v>102599.889366906</v>
      </c>
      <c r="Y12" s="25" t="n">
        <f aca="false">X12*0.99</f>
        <v>101573.890473237</v>
      </c>
      <c r="Z12" s="25" t="n">
        <f aca="false">Y12*0.99</f>
        <v>100558.151568504</v>
      </c>
      <c r="AA12" s="25" t="n">
        <f aca="false">Z12*0.99</f>
        <v>99552.5700528192</v>
      </c>
      <c r="AB12" s="25" t="n">
        <f aca="false">AA12*0.99</f>
        <v>98557.044352291</v>
      </c>
    </row>
    <row r="13" customFormat="false" ht="12.8" hidden="false" customHeight="false" outlineLevel="0" collapsed="false">
      <c r="A13" s="32" t="s">
        <v>41</v>
      </c>
      <c r="B13" s="27" t="n">
        <f aca="false">SUM(B10:B12)</f>
        <v>89447</v>
      </c>
      <c r="C13" s="27" t="n">
        <f aca="false">SUM(C10:C12)</f>
        <v>29499</v>
      </c>
      <c r="D13" s="27" t="n">
        <f aca="false">SUM(D10:D12)</f>
        <v>17308</v>
      </c>
      <c r="E13" s="27" t="n">
        <f aca="false">SUM(E10:E12)</f>
        <v>22023</v>
      </c>
      <c r="F13" s="27" t="n">
        <f aca="false">SUM(F10:F12)</f>
        <v>31723</v>
      </c>
      <c r="G13" s="27" t="n">
        <f aca="false">SUM(G10:G12)</f>
        <v>100553</v>
      </c>
      <c r="H13" s="27" t="n">
        <f aca="false">SUM(H10:H12)</f>
        <v>2633</v>
      </c>
      <c r="I13" s="27" t="n">
        <f aca="false">SUM(I10:I12)</f>
        <v>58089</v>
      </c>
      <c r="J13" s="27" t="n">
        <f aca="false">SUM(J10:J12)</f>
        <v>36361</v>
      </c>
      <c r="K13" s="27" t="n">
        <f aca="false">SUM(K10:K12)</f>
        <v>12299</v>
      </c>
      <c r="L13" s="27" t="n">
        <f aca="false">SUM(L10:L12)</f>
        <v>109382</v>
      </c>
      <c r="M13" s="27" t="n">
        <f aca="false">SUM(M10:M12)</f>
        <v>41709</v>
      </c>
      <c r="N13" s="21"/>
      <c r="O13" s="27" t="n">
        <f aca="false">SUM(O10:O12)</f>
        <v>89447</v>
      </c>
      <c r="P13" s="29" t="n">
        <f aca="false">G13</f>
        <v>100553</v>
      </c>
      <c r="Q13" s="29" t="n">
        <f aca="false">L13</f>
        <v>109382</v>
      </c>
      <c r="R13" s="29" t="n">
        <f aca="false">Q13*0.99</f>
        <v>108288.18</v>
      </c>
      <c r="S13" s="29" t="n">
        <f aca="false">R13*0.99</f>
        <v>107205.2982</v>
      </c>
      <c r="T13" s="29" t="n">
        <f aca="false">S13*0.99</f>
        <v>106133.245218</v>
      </c>
      <c r="U13" s="29" t="n">
        <f aca="false">T13*0.99</f>
        <v>105071.91276582</v>
      </c>
      <c r="V13" s="29" t="n">
        <f aca="false">U13*0.99</f>
        <v>104021.193638162</v>
      </c>
      <c r="W13" s="29" t="n">
        <f aca="false">V13*0.99</f>
        <v>102980.98170178</v>
      </c>
      <c r="X13" s="29" t="n">
        <f aca="false">W13*0.99</f>
        <v>101951.171884762</v>
      </c>
      <c r="Y13" s="29" t="n">
        <f aca="false">X13*0.99</f>
        <v>100931.660165915</v>
      </c>
      <c r="Z13" s="29" t="n">
        <f aca="false">Y13*0.99</f>
        <v>99922.3435642556</v>
      </c>
      <c r="AA13" s="29" t="n">
        <f aca="false">Z13*0.99</f>
        <v>98923.1201286131</v>
      </c>
      <c r="AB13" s="29" t="n">
        <f aca="false">AA13*0.99</f>
        <v>97933.8889273269</v>
      </c>
    </row>
    <row r="14" customFormat="false" ht="12.8" hidden="false" customHeight="false" outlineLevel="0" collapsed="false">
      <c r="A14" s="0" t="s">
        <v>42</v>
      </c>
      <c r="B14" s="24" t="n">
        <v>763510</v>
      </c>
      <c r="C14" s="24" t="n">
        <v>177741</v>
      </c>
      <c r="D14" s="24" t="n">
        <f aca="false">445515-C14</f>
        <v>267774</v>
      </c>
      <c r="E14" s="24" t="n">
        <f aca="false">723934-(D14+C14)</f>
        <v>278419</v>
      </c>
      <c r="F14" s="24" t="n">
        <f aca="false">(962719)-(E14+D14+C14)</f>
        <v>238785</v>
      </c>
      <c r="G14" s="25" t="n">
        <f aca="false">SUM(C14:F14)</f>
        <v>962719</v>
      </c>
      <c r="H14" s="24" t="n">
        <v>240618</v>
      </c>
      <c r="I14" s="24" t="n">
        <f aca="false">443383-H14</f>
        <v>202765</v>
      </c>
      <c r="J14" s="24" t="n">
        <f aca="false">606151-(I14+H14)</f>
        <v>162768</v>
      </c>
      <c r="K14" s="24" t="n">
        <f aca="false">(772417)-(J14+I14+H14)</f>
        <v>166266</v>
      </c>
      <c r="L14" s="25" t="n">
        <f aca="false">SUM(H14:K14)</f>
        <v>772417</v>
      </c>
      <c r="M14" s="24" t="n">
        <v>182862</v>
      </c>
      <c r="N14" s="21"/>
      <c r="O14" s="24" t="n">
        <v>763510</v>
      </c>
      <c r="P14" s="25" t="n">
        <f aca="false">G14</f>
        <v>962719</v>
      </c>
      <c r="Q14" s="25" t="n">
        <f aca="false">L14</f>
        <v>772417</v>
      </c>
      <c r="R14" s="25" t="n">
        <f aca="false">Q14*0.99</f>
        <v>764692.83</v>
      </c>
      <c r="S14" s="25" t="n">
        <f aca="false">R14*0.99</f>
        <v>757045.9017</v>
      </c>
      <c r="T14" s="25" t="n">
        <f aca="false">S14*0.99</f>
        <v>749475.442683</v>
      </c>
      <c r="U14" s="25" t="n">
        <f aca="false">T14*0.99</f>
        <v>741980.68825617</v>
      </c>
      <c r="V14" s="25" t="n">
        <f aca="false">U14*0.99</f>
        <v>734560.881373608</v>
      </c>
      <c r="W14" s="25" t="n">
        <f aca="false">V14*0.99</f>
        <v>727215.272559872</v>
      </c>
      <c r="X14" s="25" t="n">
        <f aca="false">W14*0.99</f>
        <v>719943.119834273</v>
      </c>
      <c r="Y14" s="25" t="n">
        <f aca="false">X14*0.99</f>
        <v>712743.688635931</v>
      </c>
      <c r="Z14" s="25" t="n">
        <f aca="false">Y14*0.99</f>
        <v>705616.251749571</v>
      </c>
      <c r="AA14" s="25" t="n">
        <f aca="false">Z14*0.99</f>
        <v>698560.089232076</v>
      </c>
      <c r="AB14" s="25" t="n">
        <f aca="false">AA14*0.99</f>
        <v>691574.488339755</v>
      </c>
    </row>
    <row r="15" customFormat="false" ht="12.8" hidden="false" customHeight="false" outlineLevel="0" collapsed="false">
      <c r="A15" s="0" t="s">
        <v>43</v>
      </c>
      <c r="B15" s="24" t="n">
        <v>-101477</v>
      </c>
      <c r="C15" s="24" t="n">
        <v>0</v>
      </c>
      <c r="D15" s="24" t="n">
        <f aca="false">0-C15</f>
        <v>0</v>
      </c>
      <c r="E15" s="24" t="n">
        <f aca="false">-3602-(D15+C15)</f>
        <v>-3602</v>
      </c>
      <c r="F15" s="24" t="n">
        <f aca="false">(2997)-(E15+D15+C15)</f>
        <v>6599</v>
      </c>
      <c r="G15" s="25" t="n">
        <f aca="false">SUM(C15:F15)</f>
        <v>2997</v>
      </c>
      <c r="H15" s="24" t="n">
        <v>-3399</v>
      </c>
      <c r="I15" s="24" t="n">
        <f aca="false">-9765-H15</f>
        <v>-6366</v>
      </c>
      <c r="J15" s="24" t="n">
        <f aca="false">-49488-(I15+H15)</f>
        <v>-39723</v>
      </c>
      <c r="K15" s="24" t="n">
        <f aca="false">(-65774)-(J15+I15+H15)</f>
        <v>-16286</v>
      </c>
      <c r="L15" s="25" t="n">
        <f aca="false">SUM(H15:K15)</f>
        <v>-65774</v>
      </c>
      <c r="M15" s="24" t="n">
        <v>12388</v>
      </c>
      <c r="N15" s="21"/>
      <c r="O15" s="24" t="n">
        <v>-101477</v>
      </c>
      <c r="P15" s="25" t="n">
        <f aca="false">G15</f>
        <v>2997</v>
      </c>
      <c r="Q15" s="25" t="n">
        <f aca="false">L15</f>
        <v>-65774</v>
      </c>
      <c r="R15" s="25" t="n">
        <f aca="false">Q15*0.99</f>
        <v>-65116.26</v>
      </c>
      <c r="S15" s="25" t="n">
        <f aca="false">R15*0.99</f>
        <v>-64465.0974</v>
      </c>
      <c r="T15" s="25" t="n">
        <f aca="false">S15*0.99</f>
        <v>-63820.446426</v>
      </c>
      <c r="U15" s="25" t="n">
        <f aca="false">T15*0.99</f>
        <v>-63182.24196174</v>
      </c>
      <c r="V15" s="25" t="n">
        <f aca="false">U15*0.99</f>
        <v>-62550.4195421226</v>
      </c>
      <c r="W15" s="25" t="n">
        <f aca="false">V15*0.99</f>
        <v>-61924.9153467014</v>
      </c>
      <c r="X15" s="25" t="n">
        <f aca="false">W15*0.99</f>
        <v>-61305.6661932344</v>
      </c>
      <c r="Y15" s="25" t="n">
        <f aca="false">X15*0.99</f>
        <v>-60692.609531302</v>
      </c>
      <c r="Z15" s="25" t="n">
        <f aca="false">Y15*0.99</f>
        <v>-60085.683435989</v>
      </c>
      <c r="AA15" s="25" t="n">
        <f aca="false">Z15*0.99</f>
        <v>-59484.8266016291</v>
      </c>
      <c r="AB15" s="25" t="n">
        <f aca="false">AA15*0.99</f>
        <v>-58889.9783356128</v>
      </c>
    </row>
    <row r="16" customFormat="false" ht="12.8" hidden="false" customHeight="false" outlineLevel="0" collapsed="false">
      <c r="A16" s="0" t="s">
        <v>44</v>
      </c>
      <c r="B16" s="24" t="n">
        <v>850367</v>
      </c>
      <c r="C16" s="24" t="n">
        <v>220736</v>
      </c>
      <c r="D16" s="24" t="n">
        <f aca="false">445515-C16</f>
        <v>224779</v>
      </c>
      <c r="E16" s="24" t="n">
        <f aca="false">654797-(D16+C16)</f>
        <v>209282</v>
      </c>
      <c r="F16" s="24" t="n">
        <f aca="false">(871309)-(E16+D16+C16)</f>
        <v>216512</v>
      </c>
      <c r="G16" s="25" t="n">
        <f aca="false">SUM(C16:F16)</f>
        <v>871309</v>
      </c>
      <c r="H16" s="24" t="n">
        <v>218468</v>
      </c>
      <c r="I16" s="24" t="n">
        <f aca="false">437438-H16</f>
        <v>218970</v>
      </c>
      <c r="J16" s="24" t="n">
        <f aca="false">663122-(I16+H16)</f>
        <v>225684</v>
      </c>
      <c r="K16" s="24" t="n">
        <f aca="false">(890490)-(J16+I16+H16)</f>
        <v>227368</v>
      </c>
      <c r="L16" s="25" t="n">
        <f aca="false">SUM(H16:K16)</f>
        <v>890490</v>
      </c>
      <c r="M16" s="24" t="n">
        <v>227120</v>
      </c>
      <c r="N16" s="21"/>
      <c r="O16" s="24" t="n">
        <v>850367</v>
      </c>
      <c r="P16" s="25" t="n">
        <f aca="false">G16</f>
        <v>871309</v>
      </c>
      <c r="Q16" s="25" t="n">
        <f aca="false">L16</f>
        <v>890490</v>
      </c>
      <c r="R16" s="25" t="n">
        <f aca="false">Q16*0.99</f>
        <v>881585.1</v>
      </c>
      <c r="S16" s="25" t="n">
        <f aca="false">R16*0.99</f>
        <v>872769.249</v>
      </c>
      <c r="T16" s="25" t="n">
        <f aca="false">S16*0.99</f>
        <v>864041.55651</v>
      </c>
      <c r="U16" s="25" t="n">
        <f aca="false">T16*0.99</f>
        <v>855401.1409449</v>
      </c>
      <c r="V16" s="25" t="n">
        <f aca="false">U16*0.99</f>
        <v>846847.129535451</v>
      </c>
      <c r="W16" s="25" t="n">
        <f aca="false">V16*0.99</f>
        <v>838378.658240096</v>
      </c>
      <c r="X16" s="25" t="n">
        <f aca="false">W16*0.99</f>
        <v>829994.871657695</v>
      </c>
      <c r="Y16" s="25" t="n">
        <f aca="false">X16*0.99</f>
        <v>821694.922941118</v>
      </c>
      <c r="Z16" s="25" t="n">
        <f aca="false">Y16*0.99</f>
        <v>813477.973711707</v>
      </c>
      <c r="AA16" s="25" t="n">
        <f aca="false">Z16*0.99</f>
        <v>805343.19397459</v>
      </c>
      <c r="AB16" s="25" t="n">
        <f aca="false">AA16*0.99</f>
        <v>797289.762034844</v>
      </c>
    </row>
    <row r="17" customFormat="false" ht="12.8" hidden="false" customHeight="false" outlineLevel="0" collapsed="false">
      <c r="A17" s="0" t="s">
        <v>45</v>
      </c>
      <c r="B17" s="33" t="n">
        <f aca="false">+B6+B9+B13-SUM(B14:B16)</f>
        <v>3013891</v>
      </c>
      <c r="C17" s="33" t="n">
        <f aca="false">+C6+C9+C13-SUM(C14:C16)</f>
        <v>747387</v>
      </c>
      <c r="D17" s="33" t="n">
        <f aca="false">+D6+D9+D13-SUM(D14:D16)</f>
        <v>600609</v>
      </c>
      <c r="E17" s="33" t="n">
        <f aca="false">+E6+E9+E13-SUM(E14:E16)</f>
        <v>660393</v>
      </c>
      <c r="F17" s="33" t="n">
        <f aca="false">+F6+F9+F13-SUM(F14:F16)</f>
        <v>710462</v>
      </c>
      <c r="G17" s="28" t="n">
        <f aca="false">SUM(C17:F17)</f>
        <v>2718851</v>
      </c>
      <c r="H17" s="33" t="n">
        <f aca="false">+H6+H9+H13-SUM(H14:H16)</f>
        <v>669321</v>
      </c>
      <c r="I17" s="33" t="n">
        <f aca="false">+I6+I9+I13-SUM(I14:I16)</f>
        <v>783064</v>
      </c>
      <c r="J17" s="33" t="n">
        <f aca="false">+J6+J9+J13-SUM(J14:J16)</f>
        <v>913146</v>
      </c>
      <c r="K17" s="33" t="n">
        <f aca="false">+K6+K9+K13-SUM(K14:K16)</f>
        <v>822249</v>
      </c>
      <c r="L17" s="28" t="n">
        <f aca="false">SUM(H17:K17)</f>
        <v>3187780</v>
      </c>
      <c r="M17" s="33" t="n">
        <f aca="false">+M6+M9+M13-SUM(M14:M16)</f>
        <v>825135</v>
      </c>
      <c r="N17" s="21"/>
      <c r="O17" s="33" t="n">
        <f aca="false">+O6+O9+O13-SUM(O14:O16)</f>
        <v>3013891</v>
      </c>
      <c r="P17" s="29" t="n">
        <f aca="false">G17</f>
        <v>2718851</v>
      </c>
      <c r="Q17" s="29" t="n">
        <f aca="false">L17</f>
        <v>3187780</v>
      </c>
      <c r="R17" s="29" t="n">
        <f aca="false">Q17*0.99</f>
        <v>3155902.2</v>
      </c>
      <c r="S17" s="29" t="n">
        <f aca="false">R17*0.99</f>
        <v>3124343.178</v>
      </c>
      <c r="T17" s="29" t="n">
        <f aca="false">S17*0.99</f>
        <v>3093099.74622</v>
      </c>
      <c r="U17" s="29" t="n">
        <f aca="false">T17*0.99</f>
        <v>3062168.7487578</v>
      </c>
      <c r="V17" s="29" t="n">
        <f aca="false">U17*0.99</f>
        <v>3031547.06127022</v>
      </c>
      <c r="W17" s="29" t="n">
        <f aca="false">V17*0.99</f>
        <v>3001231.59065752</v>
      </c>
      <c r="X17" s="29" t="n">
        <f aca="false">W17*0.99</f>
        <v>2971219.27475094</v>
      </c>
      <c r="Y17" s="29" t="n">
        <f aca="false">X17*0.99</f>
        <v>2941507.08200343</v>
      </c>
      <c r="Z17" s="29" t="n">
        <f aca="false">Y17*0.99</f>
        <v>2912092.0111834</v>
      </c>
      <c r="AA17" s="29" t="n">
        <f aca="false">Z17*0.99</f>
        <v>2882971.09107157</v>
      </c>
      <c r="AB17" s="29" t="n">
        <f aca="false">AA17*0.99</f>
        <v>2854141.38016085</v>
      </c>
    </row>
    <row r="18" customFormat="false" ht="12.8" hidden="false" customHeight="false" outlineLevel="0" collapsed="false">
      <c r="A18" s="34" t="s">
        <v>46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21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customFormat="false" ht="12.8" hidden="false" customHeight="false" outlineLevel="0" collapsed="false">
      <c r="A19" s="35" t="s">
        <v>47</v>
      </c>
      <c r="B19" s="24" t="n">
        <v>0</v>
      </c>
      <c r="C19" s="24" t="n">
        <v>0</v>
      </c>
      <c r="D19" s="24" t="n">
        <f aca="false">0-C19</f>
        <v>0</v>
      </c>
      <c r="E19" s="24" t="n">
        <f aca="false">0-(D19+C19)</f>
        <v>0</v>
      </c>
      <c r="F19" s="24" t="n">
        <f aca="false">(0)-(E19+D19+C19)</f>
        <v>0</v>
      </c>
      <c r="G19" s="25" t="n">
        <f aca="false">SUM(C19:F19)</f>
        <v>0</v>
      </c>
      <c r="H19" s="24" t="n">
        <v>0</v>
      </c>
      <c r="I19" s="24" t="n">
        <f aca="false">0-H19</f>
        <v>0</v>
      </c>
      <c r="J19" s="24" t="n">
        <f aca="false">0-(I19+H19)</f>
        <v>0</v>
      </c>
      <c r="K19" s="24" t="n">
        <f aca="false">(0)-(J19+I19+H19)</f>
        <v>0</v>
      </c>
      <c r="L19" s="25" t="n">
        <f aca="false">SUM(H19:K19)</f>
        <v>0</v>
      </c>
      <c r="M19" s="24" t="n">
        <v>0</v>
      </c>
      <c r="N19" s="21"/>
      <c r="O19" s="24" t="n">
        <v>0</v>
      </c>
      <c r="P19" s="25" t="n">
        <f aca="false">SUM(L19:O19)</f>
        <v>0</v>
      </c>
      <c r="Q19" s="25" t="n">
        <f aca="false">L19</f>
        <v>0</v>
      </c>
      <c r="R19" s="25" t="n">
        <f aca="false">Q19*0.99</f>
        <v>0</v>
      </c>
      <c r="S19" s="25" t="n">
        <f aca="false">R19*0.99</f>
        <v>0</v>
      </c>
      <c r="T19" s="25" t="n">
        <f aca="false">S19*0.99</f>
        <v>0</v>
      </c>
      <c r="U19" s="25" t="n">
        <f aca="false">T19*0.99</f>
        <v>0</v>
      </c>
      <c r="V19" s="25" t="n">
        <f aca="false">U19*0.99</f>
        <v>0</v>
      </c>
      <c r="W19" s="25" t="n">
        <f aca="false">V19*0.99</f>
        <v>0</v>
      </c>
      <c r="X19" s="25" t="n">
        <f aca="false">W19*0.99</f>
        <v>0</v>
      </c>
      <c r="Y19" s="25" t="n">
        <f aca="false">X19*0.99</f>
        <v>0</v>
      </c>
      <c r="Z19" s="25" t="n">
        <f aca="false">Y19*0.99</f>
        <v>0</v>
      </c>
      <c r="AA19" s="25" t="n">
        <f aca="false">Z19*0.99</f>
        <v>0</v>
      </c>
      <c r="AB19" s="25" t="n">
        <f aca="false">AA19*0.99</f>
        <v>0</v>
      </c>
    </row>
    <row r="20" customFormat="false" ht="12.8" hidden="false" customHeight="false" outlineLevel="0" collapsed="false">
      <c r="A20" s="36" t="s">
        <v>48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21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customFormat="false" ht="12.8" hidden="false" customHeight="false" outlineLevel="0" collapsed="false">
      <c r="A21" s="0" t="s">
        <v>49</v>
      </c>
      <c r="B21" s="24" t="n">
        <v>527080</v>
      </c>
      <c r="C21" s="24" t="n">
        <v>78828</v>
      </c>
      <c r="D21" s="24" t="n">
        <f aca="false">136705-C21</f>
        <v>57877</v>
      </c>
      <c r="E21" s="24" t="n">
        <f aca="false">218243-(D21+C21)</f>
        <v>81538</v>
      </c>
      <c r="F21" s="24" t="n">
        <f aca="false">(355020)-(E21+D21+C21)</f>
        <v>136777</v>
      </c>
      <c r="G21" s="25" t="n">
        <f aca="false">SUM(C21:F21)</f>
        <v>355020</v>
      </c>
      <c r="H21" s="24" t="n">
        <v>86163</v>
      </c>
      <c r="I21" s="24" t="n">
        <f aca="false">189887-H21</f>
        <v>103724</v>
      </c>
      <c r="J21" s="24" t="n">
        <f aca="false">324374-(I21+H21)</f>
        <v>134487</v>
      </c>
      <c r="K21" s="24" t="n">
        <f aca="false">(463221)-(J21+I21+H21)</f>
        <v>138847</v>
      </c>
      <c r="L21" s="25" t="n">
        <f aca="false">SUM(H21:K21)</f>
        <v>463221</v>
      </c>
      <c r="M21" s="24" t="n">
        <v>133752</v>
      </c>
      <c r="N21" s="21"/>
      <c r="O21" s="24" t="n">
        <v>527080</v>
      </c>
      <c r="P21" s="25" t="n">
        <f aca="false">G21</f>
        <v>355020</v>
      </c>
      <c r="Q21" s="25" t="n">
        <f aca="false">L21</f>
        <v>463221</v>
      </c>
      <c r="R21" s="25" t="n">
        <f aca="false">Q21*0.99</f>
        <v>458588.79</v>
      </c>
      <c r="S21" s="25" t="n">
        <f aca="false">R21*0.99</f>
        <v>454002.9021</v>
      </c>
      <c r="T21" s="25" t="n">
        <f aca="false">S21*0.99</f>
        <v>449462.873079</v>
      </c>
      <c r="U21" s="25" t="n">
        <f aca="false">T21*0.99</f>
        <v>444968.24434821</v>
      </c>
      <c r="V21" s="25" t="n">
        <f aca="false">U21*0.99</f>
        <v>440518.561904728</v>
      </c>
      <c r="W21" s="25" t="n">
        <f aca="false">V21*0.99</f>
        <v>436113.376285681</v>
      </c>
      <c r="X21" s="25" t="n">
        <f aca="false">W21*0.99</f>
        <v>431752.242522824</v>
      </c>
      <c r="Y21" s="25" t="n">
        <f aca="false">X21*0.99</f>
        <v>427434.720097595</v>
      </c>
      <c r="Z21" s="25" t="n">
        <f aca="false">Y21*0.99</f>
        <v>423160.37289662</v>
      </c>
      <c r="AA21" s="25" t="n">
        <f aca="false">Z21*0.99</f>
        <v>418928.769167653</v>
      </c>
      <c r="AB21" s="25" t="n">
        <f aca="false">AA21*0.99</f>
        <v>414739.481475977</v>
      </c>
    </row>
    <row r="22" customFormat="false" ht="12.8" hidden="false" customHeight="false" outlineLevel="0" collapsed="false">
      <c r="A22" s="0" t="s">
        <v>50</v>
      </c>
      <c r="B22" s="24" t="n">
        <v>759047</v>
      </c>
      <c r="C22" s="24" t="n">
        <v>185942</v>
      </c>
      <c r="D22" s="24" t="n">
        <f aca="false">(366451)-C22</f>
        <v>180509</v>
      </c>
      <c r="E22" s="24" t="n">
        <f aca="false">(547073)-(D22+C22)</f>
        <v>180622</v>
      </c>
      <c r="F22" s="24" t="n">
        <f aca="false">(764914)-(E22+D22+C22)</f>
        <v>217841</v>
      </c>
      <c r="G22" s="25" t="n">
        <f aca="false">SUM(C22:F22)</f>
        <v>764914</v>
      </c>
      <c r="H22" s="24" t="n">
        <v>184612</v>
      </c>
      <c r="I22" s="24" t="n">
        <f aca="false">(382084)-H22</f>
        <v>197472</v>
      </c>
      <c r="J22" s="24" t="n">
        <f aca="false">(577329)-(I22+H22)</f>
        <v>195245</v>
      </c>
      <c r="K22" s="24" t="n">
        <f aca="false">(798796)-(J22+I22+H22)</f>
        <v>221467</v>
      </c>
      <c r="L22" s="25" t="n">
        <f aca="false">SUM(H22:K22)</f>
        <v>798796</v>
      </c>
      <c r="M22" s="24" t="n">
        <v>191348</v>
      </c>
      <c r="N22" s="21"/>
      <c r="O22" s="24" t="n">
        <v>759047</v>
      </c>
      <c r="P22" s="25" t="n">
        <f aca="false">G22</f>
        <v>764914</v>
      </c>
      <c r="Q22" s="25" t="n">
        <f aca="false">L22</f>
        <v>798796</v>
      </c>
      <c r="R22" s="25" t="n">
        <f aca="false">Q22*0.99</f>
        <v>790808.04</v>
      </c>
      <c r="S22" s="25" t="n">
        <f aca="false">R22*0.99</f>
        <v>782899.9596</v>
      </c>
      <c r="T22" s="25" t="n">
        <f aca="false">S22*0.99</f>
        <v>775070.960004</v>
      </c>
      <c r="U22" s="25" t="n">
        <f aca="false">T22*0.99</f>
        <v>767320.25040396</v>
      </c>
      <c r="V22" s="25" t="n">
        <f aca="false">U22*0.99</f>
        <v>759647.047899921</v>
      </c>
      <c r="W22" s="25" t="n">
        <f aca="false">V22*0.99</f>
        <v>752050.577420921</v>
      </c>
      <c r="X22" s="25" t="n">
        <f aca="false">W22*0.99</f>
        <v>744530.071646712</v>
      </c>
      <c r="Y22" s="25" t="n">
        <f aca="false">X22*0.99</f>
        <v>737084.770930245</v>
      </c>
      <c r="Z22" s="25" t="n">
        <f aca="false">Y22*0.99</f>
        <v>729713.923220942</v>
      </c>
      <c r="AA22" s="25" t="n">
        <f aca="false">Z22*0.99</f>
        <v>722416.783988733</v>
      </c>
      <c r="AB22" s="25" t="n">
        <f aca="false">AA22*0.99</f>
        <v>715192.616148846</v>
      </c>
    </row>
    <row r="23" customFormat="false" ht="12.8" hidden="false" customHeight="false" outlineLevel="0" collapsed="false">
      <c r="A23" s="37" t="s">
        <v>51</v>
      </c>
      <c r="B23" s="27" t="n">
        <f aca="false">B21-B22</f>
        <v>-231967</v>
      </c>
      <c r="C23" s="27" t="n">
        <f aca="false">C21-C22</f>
        <v>-107114</v>
      </c>
      <c r="D23" s="27" t="n">
        <f aca="false">+D21-D22</f>
        <v>-122632</v>
      </c>
      <c r="E23" s="27" t="n">
        <f aca="false">+E21-E22</f>
        <v>-99084</v>
      </c>
      <c r="F23" s="27" t="n">
        <f aca="false">+F21-F22</f>
        <v>-81064</v>
      </c>
      <c r="G23" s="28" t="n">
        <f aca="false">SUM(C23:F23)</f>
        <v>-409894</v>
      </c>
      <c r="H23" s="27" t="n">
        <f aca="false">+H21-H22</f>
        <v>-98449</v>
      </c>
      <c r="I23" s="27" t="n">
        <f aca="false">+I21-I22</f>
        <v>-93748</v>
      </c>
      <c r="J23" s="27" t="n">
        <f aca="false">+J21-J22</f>
        <v>-60758</v>
      </c>
      <c r="K23" s="27" t="n">
        <f aca="false">+K21-K22</f>
        <v>-82620</v>
      </c>
      <c r="L23" s="28" t="n">
        <f aca="false">SUM(H23:K23)</f>
        <v>-335575</v>
      </c>
      <c r="M23" s="27" t="n">
        <f aca="false">+M21-M22</f>
        <v>-57596</v>
      </c>
      <c r="N23" s="21"/>
      <c r="O23" s="27" t="n">
        <f aca="false">O21-O22</f>
        <v>-231967</v>
      </c>
      <c r="P23" s="29" t="n">
        <f aca="false">G23</f>
        <v>-409894</v>
      </c>
      <c r="Q23" s="29" t="n">
        <f aca="false">L23</f>
        <v>-335575</v>
      </c>
      <c r="R23" s="29" t="n">
        <f aca="false">Q23*0.99</f>
        <v>-332219.25</v>
      </c>
      <c r="S23" s="29" t="n">
        <f aca="false">R23*0.99</f>
        <v>-328897.0575</v>
      </c>
      <c r="T23" s="29" t="n">
        <f aca="false">S23*0.99</f>
        <v>-325608.086925</v>
      </c>
      <c r="U23" s="29" t="n">
        <f aca="false">T23*0.99</f>
        <v>-322352.00605575</v>
      </c>
      <c r="V23" s="29" t="n">
        <f aca="false">U23*0.99</f>
        <v>-319128.485995192</v>
      </c>
      <c r="W23" s="29" t="n">
        <f aca="false">V23*0.99</f>
        <v>-315937.201135241</v>
      </c>
      <c r="X23" s="29" t="n">
        <f aca="false">W23*0.99</f>
        <v>-312777.829123888</v>
      </c>
      <c r="Y23" s="29" t="n">
        <f aca="false">X23*0.99</f>
        <v>-309650.050832649</v>
      </c>
      <c r="Z23" s="29" t="n">
        <f aca="false">Y23*0.99</f>
        <v>-306553.550324323</v>
      </c>
      <c r="AA23" s="29" t="n">
        <f aca="false">Z23*0.99</f>
        <v>-303488.01482108</v>
      </c>
      <c r="AB23" s="29" t="n">
        <f aca="false">AA23*0.99</f>
        <v>-300453.134672869</v>
      </c>
    </row>
    <row r="24" customFormat="false" ht="12.8" hidden="false" customHeight="false" outlineLevel="0" collapsed="false">
      <c r="A24" s="38" t="s">
        <v>52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21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</row>
    <row r="25" customFormat="false" ht="12.8" hidden="false" customHeight="false" outlineLevel="0" collapsed="false">
      <c r="A25" s="0" t="s">
        <v>53</v>
      </c>
      <c r="B25" s="33" t="n">
        <f aca="false">+B17+B19+B23</f>
        <v>2781924</v>
      </c>
      <c r="C25" s="33" t="n">
        <f aca="false">+C17+C19+C23</f>
        <v>640273</v>
      </c>
      <c r="D25" s="33" t="n">
        <f aca="false">+D17+D19+D23</f>
        <v>477977</v>
      </c>
      <c r="E25" s="33" t="n">
        <f aca="false">+E17+E19+E23</f>
        <v>561309</v>
      </c>
      <c r="F25" s="33" t="n">
        <f aca="false">+F17+F19+F23</f>
        <v>629398</v>
      </c>
      <c r="G25" s="33" t="n">
        <f aca="false">+G17+G19+G23</f>
        <v>2308957</v>
      </c>
      <c r="H25" s="33" t="n">
        <f aca="false">+H17+H19+H23</f>
        <v>570872</v>
      </c>
      <c r="I25" s="33" t="n">
        <f aca="false">+I17+I19+I23</f>
        <v>689316</v>
      </c>
      <c r="J25" s="33" t="n">
        <f aca="false">+J17+J19+J23</f>
        <v>852388</v>
      </c>
      <c r="K25" s="33" t="n">
        <f aca="false">+K17+K19+K23</f>
        <v>739629</v>
      </c>
      <c r="L25" s="33" t="n">
        <f aca="false">+L17+L19+L23</f>
        <v>2852205</v>
      </c>
      <c r="M25" s="33" t="n">
        <f aca="false">+M17+M19+M23</f>
        <v>767539</v>
      </c>
      <c r="N25" s="21"/>
      <c r="O25" s="33" t="n">
        <f aca="false">+O17+O19+O23</f>
        <v>2781924</v>
      </c>
      <c r="P25" s="33" t="n">
        <f aca="false">+P17+P19+P23</f>
        <v>2308957</v>
      </c>
      <c r="Q25" s="33" t="n">
        <f aca="false">+Q17+Q19+Q23</f>
        <v>2852205</v>
      </c>
      <c r="R25" s="33" t="n">
        <f aca="false">+R17+R19+R23</f>
        <v>2823682.95</v>
      </c>
      <c r="S25" s="33" t="n">
        <f aca="false">+S17+S19+S23</f>
        <v>2795446.1205</v>
      </c>
      <c r="T25" s="33" t="n">
        <f aca="false">+T17+T19+T23</f>
        <v>2767491.659295</v>
      </c>
      <c r="U25" s="33" t="n">
        <f aca="false">+U17+U19+U23</f>
        <v>2739816.74270205</v>
      </c>
      <c r="V25" s="33" t="n">
        <f aca="false">+V17+V19+V23</f>
        <v>2712418.57527503</v>
      </c>
      <c r="W25" s="33" t="n">
        <f aca="false">+W17+W19+W23</f>
        <v>2685294.38952228</v>
      </c>
      <c r="X25" s="33" t="n">
        <f aca="false">+X17+X19+X23</f>
        <v>2658441.44562706</v>
      </c>
      <c r="Y25" s="33" t="n">
        <f aca="false">+Y17+Y19+Y23</f>
        <v>2631857.03117079</v>
      </c>
      <c r="Z25" s="33" t="n">
        <f aca="false">+Z17+Z19+Z23</f>
        <v>2605538.46085908</v>
      </c>
      <c r="AA25" s="33" t="n">
        <f aca="false">+AA17+AA19+AA23</f>
        <v>2579483.07625049</v>
      </c>
      <c r="AB25" s="33" t="n">
        <f aca="false">+AB17+AB19+AB23</f>
        <v>2553688.24548798</v>
      </c>
    </row>
    <row r="26" customFormat="false" ht="12.8" hidden="false" customHeight="false" outlineLevel="0" collapsed="false">
      <c r="A26" s="0" t="s">
        <v>54</v>
      </c>
      <c r="B26" s="24" t="n">
        <v>274076</v>
      </c>
      <c r="C26" s="24" t="n">
        <v>60676</v>
      </c>
      <c r="D26" s="24" t="n">
        <f aca="false">(105728)-C26</f>
        <v>45052</v>
      </c>
      <c r="E26" s="24" t="n">
        <f aca="false">(158009)-(D26+C26)</f>
        <v>52281</v>
      </c>
      <c r="F26" s="24" t="n">
        <f aca="false">(220240)-(E26+D26+C26)</f>
        <v>62231</v>
      </c>
      <c r="G26" s="25" t="n">
        <f aca="false">SUM(C26:F26)</f>
        <v>220240</v>
      </c>
      <c r="H26" s="24" t="n">
        <v>56631</v>
      </c>
      <c r="I26" s="24" t="n">
        <f aca="false">(121579)-H26</f>
        <v>64948</v>
      </c>
      <c r="J26" s="24" t="n">
        <f aca="false">(201473)-(I26+H26)</f>
        <v>79894</v>
      </c>
      <c r="K26" s="24" t="n">
        <f aca="false">(262877)-(J26+I26+H26)</f>
        <v>61404</v>
      </c>
      <c r="L26" s="25" t="n">
        <f aca="false">SUM(H26:K26)</f>
        <v>262877</v>
      </c>
      <c r="M26" s="24" t="n">
        <v>73644</v>
      </c>
      <c r="N26" s="21"/>
      <c r="O26" s="24" t="n">
        <v>274076</v>
      </c>
      <c r="P26" s="25" t="n">
        <f aca="false">G26</f>
        <v>220240</v>
      </c>
      <c r="Q26" s="25" t="n">
        <f aca="false">L26</f>
        <v>262877</v>
      </c>
      <c r="R26" s="29" t="n">
        <f aca="false">Q26*0.99</f>
        <v>260248.23</v>
      </c>
      <c r="S26" s="29" t="n">
        <f aca="false">R26*0.99</f>
        <v>257645.7477</v>
      </c>
      <c r="T26" s="29" t="n">
        <f aca="false">S26*0.99</f>
        <v>255069.290223</v>
      </c>
      <c r="U26" s="29" t="n">
        <f aca="false">T26*0.99</f>
        <v>252518.59732077</v>
      </c>
      <c r="V26" s="29" t="n">
        <f aca="false">U26*0.99</f>
        <v>249993.411347562</v>
      </c>
      <c r="W26" s="29" t="n">
        <f aca="false">V26*0.99</f>
        <v>247493.477234087</v>
      </c>
      <c r="X26" s="29" t="n">
        <f aca="false">W26*0.99</f>
        <v>245018.542461746</v>
      </c>
      <c r="Y26" s="29" t="n">
        <f aca="false">X26*0.99</f>
        <v>242568.357037128</v>
      </c>
      <c r="Z26" s="29" t="n">
        <f aca="false">Y26*0.99</f>
        <v>240142.673466757</v>
      </c>
      <c r="AA26" s="29" t="n">
        <f aca="false">Z26*0.99</f>
        <v>237741.24673209</v>
      </c>
      <c r="AB26" s="29" t="n">
        <f aca="false">AA26*0.99</f>
        <v>235363.834264769</v>
      </c>
    </row>
    <row r="27" customFormat="false" ht="12.8" hidden="false" customHeight="false" outlineLevel="0" collapsed="false">
      <c r="A27" s="0" t="s">
        <v>55</v>
      </c>
      <c r="B27" s="39" t="n">
        <f aca="false">+B25-B26</f>
        <v>2507848</v>
      </c>
      <c r="C27" s="39" t="n">
        <f aca="false">+C25-C26</f>
        <v>579597</v>
      </c>
      <c r="D27" s="39" t="n">
        <f aca="false">+D25-D26</f>
        <v>432925</v>
      </c>
      <c r="E27" s="39" t="n">
        <f aca="false">+E25-E26</f>
        <v>509028</v>
      </c>
      <c r="F27" s="39" t="n">
        <f aca="false">+F25-F26</f>
        <v>567167</v>
      </c>
      <c r="G27" s="40" t="n">
        <f aca="false">SUM(C27:F27)</f>
        <v>2088717</v>
      </c>
      <c r="H27" s="39" t="n">
        <f aca="false">+H25-H26</f>
        <v>514241</v>
      </c>
      <c r="I27" s="39" t="n">
        <f aca="false">+I25-I26</f>
        <v>624368</v>
      </c>
      <c r="J27" s="39" t="n">
        <f aca="false">+J25-J26</f>
        <v>772494</v>
      </c>
      <c r="K27" s="39" t="n">
        <f aca="false">+K25-K26</f>
        <v>678225</v>
      </c>
      <c r="L27" s="40" t="n">
        <f aca="false">SUM(H27:K27)</f>
        <v>2589328</v>
      </c>
      <c r="M27" s="39" t="n">
        <f aca="false">+M25-M26</f>
        <v>693895</v>
      </c>
      <c r="N27" s="21"/>
      <c r="O27" s="39" t="n">
        <f aca="false">+O25-O26</f>
        <v>2507848</v>
      </c>
      <c r="P27" s="39" t="n">
        <f aca="false">+P25-P26</f>
        <v>2088717</v>
      </c>
      <c r="Q27" s="39" t="n">
        <f aca="false">+Q25-Q26</f>
        <v>2589328</v>
      </c>
      <c r="R27" s="39" t="n">
        <f aca="false">(+R25-R26)*(1+C30)</f>
        <v>2512166.0256</v>
      </c>
      <c r="S27" s="39" t="n">
        <f aca="false">(+S25-S26)*(1+D30)</f>
        <v>2537800.3728</v>
      </c>
      <c r="T27" s="39" t="n">
        <f aca="false">(+T25-T26)*(1+E30)</f>
        <v>2512422.369072</v>
      </c>
      <c r="U27" s="39" t="n">
        <f aca="false">(+U25-U26)*(1+F30)</f>
        <v>2487298.14538128</v>
      </c>
      <c r="V27" s="39" t="n">
        <f aca="false">(+V25-V26)*(1+G30)</f>
        <v>2462425.16392747</v>
      </c>
      <c r="W27" s="39" t="n">
        <f aca="false">(+W25-W26)*(1+H30)</f>
        <v>2437800.91228819</v>
      </c>
      <c r="X27" s="39" t="n">
        <f aca="false">(+X25-X26)*(1+I30)</f>
        <v>2413422.90316531</v>
      </c>
      <c r="Y27" s="39" t="n">
        <f aca="false">(+Y25-Y26)*(1+J30)</f>
        <v>2389288.67413366</v>
      </c>
      <c r="Z27" s="39" t="n">
        <f aca="false">(+Z25-Z26)*(1+K30)</f>
        <v>2365395.78739232</v>
      </c>
      <c r="AA27" s="39" t="n">
        <f aca="false">(+AA25-AA26)*(1+L30)</f>
        <v>2341741.8295184</v>
      </c>
      <c r="AB27" s="39" t="n">
        <f aca="false">(+AB25-AB26)*(1+M30)</f>
        <v>2318324.41122321</v>
      </c>
    </row>
    <row r="28" customFormat="false" ht="12.8" hidden="false" customHeight="false" outlineLevel="0" collapsed="false">
      <c r="A28" s="6"/>
      <c r="B28" s="6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21"/>
      <c r="O28" s="6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</row>
    <row r="29" customFormat="false" ht="12.8" hidden="false" customHeight="false" outlineLevel="0" collapsed="false">
      <c r="A29" s="0" t="s">
        <v>56</v>
      </c>
      <c r="B29" s="43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</row>
    <row r="30" customFormat="false" ht="12.8" hidden="false" customHeight="false" outlineLevel="0" collapsed="false">
      <c r="A30" s="0" t="s">
        <v>57</v>
      </c>
      <c r="B30" s="45"/>
      <c r="C30" s="46" t="n">
        <v>-0.02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</row>
    <row r="31" customFormat="false" ht="12.8" hidden="false" customHeight="false" outlineLevel="0" collapsed="false">
      <c r="A31" s="0" t="s">
        <v>58</v>
      </c>
      <c r="B31" s="45"/>
      <c r="C31" s="48" t="n">
        <v>0.05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</row>
    <row r="32" customFormat="false" ht="12.8" hidden="false" customHeight="false" outlineLevel="0" collapsed="false">
      <c r="B32" s="45"/>
      <c r="C32" s="48"/>
      <c r="D32" s="47"/>
      <c r="E32" s="47"/>
      <c r="F32" s="47"/>
      <c r="G32" s="47"/>
      <c r="H32" s="47"/>
      <c r="I32" s="47"/>
      <c r="J32" s="47"/>
      <c r="K32" s="47"/>
      <c r="L32" s="47"/>
      <c r="M32" s="47"/>
    </row>
    <row r="33" customFormat="false" ht="12.8" hidden="false" customHeight="false" outlineLevel="0" collapsed="false">
      <c r="A33" s="0" t="s">
        <v>59</v>
      </c>
      <c r="B33" s="45"/>
      <c r="C33" s="16" t="n">
        <f aca="false">NPV(C31,R27:AB27)</f>
        <v>20309726.2396756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</row>
    <row r="34" customFormat="false" ht="12.8" hidden="false" customHeight="false" outlineLevel="0" collapsed="false">
      <c r="A34" s="0" t="s">
        <v>15</v>
      </c>
      <c r="B34" s="45"/>
      <c r="C34" s="16" t="n">
        <f aca="false">+Опис!E7</f>
        <v>-14044196.4</v>
      </c>
      <c r="D34" s="47"/>
      <c r="E34" s="47"/>
      <c r="F34" s="47"/>
      <c r="G34" s="47"/>
      <c r="H34" s="47"/>
      <c r="I34" s="47"/>
      <c r="J34" s="47"/>
      <c r="K34" s="47"/>
      <c r="L34" s="47"/>
      <c r="M34" s="47"/>
    </row>
    <row r="35" customFormat="false" ht="12.8" hidden="false" customHeight="false" outlineLevel="0" collapsed="false">
      <c r="A35" s="0" t="s">
        <v>60</v>
      </c>
      <c r="B35" s="45"/>
      <c r="C35" s="16" t="n">
        <f aca="false">C33+C34</f>
        <v>6265529.83967557</v>
      </c>
    </row>
    <row r="36" customFormat="false" ht="12.8" hidden="false" customHeight="false" outlineLevel="0" collapsed="false">
      <c r="A36" s="0" t="s">
        <v>61</v>
      </c>
      <c r="B36" s="45"/>
      <c r="C36" s="16" t="n">
        <f aca="false">C35/Опис!E6</f>
        <v>358.846806829917</v>
      </c>
    </row>
    <row r="37" customFormat="false" ht="12.8" hidden="false" customHeight="false" outlineLevel="0" collapsed="false">
      <c r="A37" s="0" t="s">
        <v>62</v>
      </c>
      <c r="B37" s="45"/>
      <c r="C37" s="13" t="n">
        <f aca="false">Опис!E5</f>
        <v>1400</v>
      </c>
    </row>
    <row r="38" customFormat="false" ht="12.8" hidden="false" customHeight="false" outlineLevel="0" collapsed="false">
      <c r="A38" s="0" t="s">
        <v>63</v>
      </c>
      <c r="B38" s="45"/>
      <c r="C38" s="49" t="n">
        <f aca="false">(E39-C37)/C37</f>
        <v>-0.618407493619739</v>
      </c>
      <c r="D38" s="1" t="s">
        <v>64</v>
      </c>
      <c r="E38" s="1" t="s">
        <v>65</v>
      </c>
      <c r="F38" s="1" t="s">
        <v>66</v>
      </c>
    </row>
    <row r="39" customFormat="false" ht="12.8" hidden="false" customHeight="false" outlineLevel="0" collapsed="false">
      <c r="A39" s="0" t="s">
        <v>67</v>
      </c>
      <c r="B39" s="45"/>
      <c r="C39" s="50" t="n">
        <f aca="false">C36*1.015</f>
        <v>364.229508932365</v>
      </c>
      <c r="D39" s="1" t="n">
        <f aca="false">17*10</f>
        <v>170</v>
      </c>
      <c r="E39" s="1" t="n">
        <f aca="false">C39+D39</f>
        <v>534.229508932365</v>
      </c>
    </row>
    <row r="40" customFormat="false" ht="12.8" hidden="false" customHeight="false" outlineLevel="0" collapsed="false">
      <c r="A40" s="0" t="s">
        <v>68</v>
      </c>
      <c r="B40" s="45"/>
      <c r="C40" s="50" t="n">
        <f aca="false">C36-C39</f>
        <v>-5.38270210244872</v>
      </c>
    </row>
    <row r="41" customFormat="false" ht="12.8" hidden="false" customHeight="false" outlineLevel="0" collapsed="false">
      <c r="A41" s="51" t="s">
        <v>69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</row>
    <row r="42" customFormat="false" ht="12.8" hidden="false" customHeight="false" outlineLevel="0" collapsed="false">
      <c r="B42" s="52" t="s">
        <v>70</v>
      </c>
      <c r="G42" s="52" t="s">
        <v>70</v>
      </c>
      <c r="L42" s="52" t="s">
        <v>70</v>
      </c>
    </row>
    <row r="43" customFormat="false" ht="12.8" hidden="false" customHeight="false" outlineLevel="0" collapsed="false">
      <c r="A43" s="0" t="s">
        <v>71</v>
      </c>
      <c r="B43" s="53" t="n">
        <f aca="false">B6/B4</f>
        <v>0.858381730981341</v>
      </c>
      <c r="C43" s="53" t="n">
        <f aca="false">C6/C4</f>
        <v>0.885545286858875</v>
      </c>
      <c r="D43" s="53" t="n">
        <f aca="false">D6/D4</f>
        <v>0.894570390350334</v>
      </c>
      <c r="E43" s="53" t="n">
        <f aca="false">E6/E4</f>
        <v>0.900800913670701</v>
      </c>
      <c r="F43" s="53" t="n">
        <f aca="false">F6/F4</f>
        <v>0.91316435106221</v>
      </c>
      <c r="G43" s="54" t="n">
        <f aca="false">G6/G4</f>
        <v>0.898502518768074</v>
      </c>
      <c r="H43" s="53" t="n">
        <f aca="false">H6/H4</f>
        <v>0.917403396544358</v>
      </c>
      <c r="I43" s="53" t="n">
        <f aca="false">I6/I4</f>
        <v>0.930962185568341</v>
      </c>
      <c r="J43" s="53" t="n">
        <f aca="false">J6/J4</f>
        <v>0.941491008899737</v>
      </c>
      <c r="K43" s="53" t="n">
        <f aca="false">K6/K4</f>
        <v>0.946981308758429</v>
      </c>
      <c r="L43" s="54" t="n">
        <f aca="false">L6/L4</f>
        <v>0.934409480897801</v>
      </c>
      <c r="M43" s="53" t="n">
        <f aca="false">M6/M4</f>
        <v>0.95003731918877</v>
      </c>
    </row>
    <row r="44" customFormat="false" ht="12.8" hidden="false" customHeight="false" outlineLevel="0" collapsed="false">
      <c r="A44" s="0" t="s">
        <v>72</v>
      </c>
      <c r="B44" s="53" t="n">
        <f aca="false">B9/B7</f>
        <v>0.653877704859879</v>
      </c>
      <c r="C44" s="53" t="n">
        <f aca="false">C9/C7</f>
        <v>0.62479203827496</v>
      </c>
      <c r="D44" s="53" t="n">
        <f aca="false">D9/D7</f>
        <v>0.630576264508895</v>
      </c>
      <c r="E44" s="53" t="n">
        <f aca="false">E9/E7</f>
        <v>0.618151341768072</v>
      </c>
      <c r="F44" s="53" t="n">
        <f aca="false">F9/F7</f>
        <v>0.558392112160997</v>
      </c>
      <c r="G44" s="54" t="n">
        <f aca="false">G9/G7</f>
        <v>0.605539350474101</v>
      </c>
      <c r="H44" s="53" t="n">
        <f aca="false">H9/H7</f>
        <v>0.588913178810823</v>
      </c>
      <c r="I44" s="53" t="n">
        <f aca="false">I9/I7</f>
        <v>0.562506719868111</v>
      </c>
      <c r="J44" s="53" t="n">
        <f aca="false">J9/J7</f>
        <v>0.657165094917983</v>
      </c>
      <c r="K44" s="53" t="n">
        <f aca="false">K9/K7</f>
        <v>0.503309619387258</v>
      </c>
      <c r="L44" s="54" t="n">
        <f aca="false">L9/L7</f>
        <v>0.577728523387343</v>
      </c>
      <c r="M44" s="53" t="n">
        <f aca="false">M9/M7</f>
        <v>0.597552812285585</v>
      </c>
    </row>
    <row r="45" customFormat="false" ht="12.8" hidden="false" customHeight="false" outlineLevel="0" collapsed="false">
      <c r="B45" s="53"/>
      <c r="C45" s="53"/>
      <c r="D45" s="53"/>
      <c r="E45" s="53"/>
      <c r="F45" s="53"/>
      <c r="G45" s="55"/>
      <c r="H45" s="53"/>
      <c r="I45" s="53"/>
      <c r="J45" s="53"/>
      <c r="K45" s="53"/>
      <c r="L45" s="55"/>
      <c r="M45" s="53"/>
    </row>
    <row r="46" customFormat="false" ht="12.8" hidden="false" customHeight="false" outlineLevel="0" collapsed="false">
      <c r="A46" s="26" t="s">
        <v>73</v>
      </c>
      <c r="B46" s="54" t="n">
        <f aca="false">B6/SUM(B6,B9,B13,B19,B23)</f>
        <v>0.840889974766692</v>
      </c>
      <c r="C46" s="53" t="n">
        <f aca="false">C6/SUM(C6,C9,C13,C19,C23)</f>
        <v>0.894313357400722</v>
      </c>
      <c r="D46" s="53" t="n">
        <f aca="false">D6/SUM(D6,D9,D13,D19,D23)</f>
        <v>0.937010705490814</v>
      </c>
      <c r="E46" s="53" t="n">
        <f aca="false">E6/SUM(E6,E9,E13,E19,E23)</f>
        <v>0.890277288867122</v>
      </c>
      <c r="F46" s="53" t="n">
        <f aca="false">F6/SUM(F6,F9,F13,F19,F23)</f>
        <v>0.868353532595249</v>
      </c>
      <c r="G46" s="54" t="n">
        <f aca="false">G6/SUM(G6,G9,G13,G19,G23)</f>
        <v>0.896457582304988</v>
      </c>
      <c r="H46" s="53" t="n">
        <f aca="false">H6/SUM(H6,H9,H13,H19,H23)</f>
        <v>0.895209140439079</v>
      </c>
      <c r="I46" s="53" t="n">
        <f aca="false">I6/SUM(I6,I9,I13,I19,I23)</f>
        <v>0.861785033742651</v>
      </c>
      <c r="J46" s="53" t="n">
        <f aca="false">J6/SUM(J6,J9,J13,J19,J23)</f>
        <v>0.815047992826677</v>
      </c>
      <c r="K46" s="53" t="n">
        <f aca="false">K6/SUM(K6,K9,K13,K19,K23)</f>
        <v>0.889979829486193</v>
      </c>
      <c r="L46" s="54" t="n">
        <f aca="false">L6/SUM(L6,L9,L13,L19,L23)</f>
        <v>0.863957964083646</v>
      </c>
      <c r="M46" s="53" t="n">
        <f aca="false">M6/SUM(M6,M9,M13,M19,M23)</f>
        <v>0.833301538184853</v>
      </c>
    </row>
    <row r="47" customFormat="false" ht="12.8" hidden="false" customHeight="false" outlineLevel="0" collapsed="false">
      <c r="A47" s="31" t="s">
        <v>74</v>
      </c>
      <c r="B47" s="54" t="n">
        <f aca="false">B9/SUM(B6,B9,B13,B19,B23)</f>
        <v>0.192298019432162</v>
      </c>
      <c r="C47" s="53" t="n">
        <f aca="false">C9/SUM(C6,C9,C13,C19,C23)</f>
        <v>0.180406257521059</v>
      </c>
      <c r="D47" s="53" t="n">
        <f aca="false">D9/SUM(D6,D9,D13,D19,D23)</f>
        <v>0.171511442201684</v>
      </c>
      <c r="E47" s="53" t="n">
        <f aca="false">E9/SUM(E6,E9,E13,E19,E23)</f>
        <v>0.183436514738743</v>
      </c>
      <c r="F47" s="53" t="n">
        <f aca="false">F9/SUM(F6,F9,F13,F19,F23)</f>
        <v>0.176859764646374</v>
      </c>
      <c r="G47" s="54" t="n">
        <f aca="false">G9/SUM(G6,G9,G13,G19,G23)</f>
        <v>0.178154656725475</v>
      </c>
      <c r="H47" s="53" t="n">
        <f aca="false">H9/SUM(H6,H9,H13,H19,H23)</f>
        <v>0.198127920557903</v>
      </c>
      <c r="I47" s="53" t="n">
        <f aca="false">I9/SUM(I6,I9,I13,I19,I23)</f>
        <v>0.170494756423777</v>
      </c>
      <c r="J47" s="53" t="n">
        <f aca="false">J9/SUM(J6,J9,J13,J19,J23)</f>
        <v>0.205263933488578</v>
      </c>
      <c r="K47" s="53" t="n">
        <f aca="false">K9/SUM(K6,K9,K13,K19,K23)</f>
        <v>0.172976704086118</v>
      </c>
      <c r="L47" s="54" t="n">
        <f aca="false">L9/SUM(L6,L9,L13,L19,L23)</f>
        <v>0.186879486341564</v>
      </c>
      <c r="M47" s="53" t="n">
        <f aca="false">M9/SUM(M6,M9,M13,M19,M23)</f>
        <v>0.180049902975774</v>
      </c>
    </row>
    <row r="48" customFormat="false" ht="12.8" hidden="false" customHeight="false" outlineLevel="0" collapsed="false">
      <c r="A48" s="32" t="s">
        <v>75</v>
      </c>
      <c r="B48" s="54" t="n">
        <f aca="false">B13/SUM(B6,B9,B13,B19,B23)</f>
        <v>0.0208291223484767</v>
      </c>
      <c r="C48" s="53" t="n">
        <f aca="false">C13/SUM(C6,C9,C13,C19,C23)</f>
        <v>0.0283985559566787</v>
      </c>
      <c r="D48" s="53" t="n">
        <f aca="false">D13/SUM(D6,D9,D13,D19,D23)</f>
        <v>0.0178335548617766</v>
      </c>
      <c r="E48" s="53" t="n">
        <f aca="false">E13/SUM(E6,E9,E13,E19,E23)</f>
        <v>0.0210664161743549</v>
      </c>
      <c r="F48" s="53" t="n">
        <f aca="false">F13/SUM(F6,F9,F13,F19,F23)</f>
        <v>0.0290691600980121</v>
      </c>
      <c r="G48" s="54" t="n">
        <f aca="false">G13/SUM(G6,G9,G13,G19,G23)</f>
        <v>0.0242531202499191</v>
      </c>
      <c r="H48" s="53" t="n">
        <f aca="false">H13/SUM(H6,H9,H13,H19,H23)</f>
        <v>0.0025648793688429</v>
      </c>
      <c r="I48" s="53" t="n">
        <f aca="false">I13/SUM(I6,I9,I13,I19,I23)</f>
        <v>0.0525842208412353</v>
      </c>
      <c r="J48" s="53" t="n">
        <f aca="false">J13/SUM(J6,J9,J13,J19,J23)</f>
        <v>0.0302726545374014</v>
      </c>
      <c r="K48" s="53" t="n">
        <f aca="false">K13/SUM(K6,K9,K13,K19,K23)</f>
        <v>0.0110109697872024</v>
      </c>
      <c r="L48" s="54" t="n">
        <f aca="false">L13/SUM(L6,L9,L13,L19,L23)</f>
        <v>0.0245838819168155</v>
      </c>
      <c r="M48" s="53" t="n">
        <f aca="false">M13/SUM(M6,M9,M13,M19,M23)</f>
        <v>0.0350522602988968</v>
      </c>
    </row>
    <row r="49" customFormat="false" ht="12.8" hidden="false" customHeight="false" outlineLevel="0" collapsed="false">
      <c r="A49" s="35" t="s">
        <v>76</v>
      </c>
      <c r="B49" s="54" t="n">
        <f aca="false">B19/SUM(B6,B9,B13,B19,B23)</f>
        <v>0</v>
      </c>
      <c r="C49" s="53" t="n">
        <f aca="false">C19/SUM(C6,C9,C13,C19,C23)</f>
        <v>0</v>
      </c>
      <c r="D49" s="53" t="n">
        <f aca="false">D19/SUM(D6,D9,D13,D19,D23)</f>
        <v>0</v>
      </c>
      <c r="E49" s="53" t="n">
        <f aca="false">E19/SUM(E6,E9,E13,E19,E23)</f>
        <v>0</v>
      </c>
      <c r="F49" s="53" t="n">
        <f aca="false">F19/SUM(F6,F9,F13,F19,F23)</f>
        <v>0</v>
      </c>
      <c r="G49" s="54" t="n">
        <f aca="false">G19/SUM(G6,G9,G13,G19,G23)</f>
        <v>0</v>
      </c>
      <c r="H49" s="53" t="n">
        <f aca="false">H19/SUM(H6,H9,H13,H19,H23)</f>
        <v>0</v>
      </c>
      <c r="I49" s="53" t="n">
        <f aca="false">I19/SUM(I6,I9,I13,I19,I23)</f>
        <v>0</v>
      </c>
      <c r="J49" s="53" t="n">
        <f aca="false">J19/SUM(J6,J9,J13,J19,J23)</f>
        <v>0</v>
      </c>
      <c r="K49" s="53" t="n">
        <f aca="false">K19/SUM(K6,K9,K13,K19,K23)</f>
        <v>0</v>
      </c>
      <c r="L49" s="54" t="n">
        <f aca="false">L19/SUM(L6,L9,L13,L19,L23)</f>
        <v>0</v>
      </c>
      <c r="M49" s="53" t="n">
        <f aca="false">M19/SUM(M6,M9,M13,M19,M23)</f>
        <v>0</v>
      </c>
    </row>
    <row r="50" customFormat="false" ht="12.8" hidden="false" customHeight="false" outlineLevel="0" collapsed="false">
      <c r="A50" s="37" t="s">
        <v>77</v>
      </c>
      <c r="B50" s="54" t="n">
        <f aca="false">B23/SUM(B6,B9,B13,B19,B23)</f>
        <v>-0.0540171165473309</v>
      </c>
      <c r="C50" s="53" t="n">
        <f aca="false">C23/SUM(C6,C9,C13,C19,C23)</f>
        <v>-0.10311817087846</v>
      </c>
      <c r="D50" s="53" t="n">
        <f aca="false">D23/SUM(D6,D9,D13,D19,D23)</f>
        <v>-0.126355702554274</v>
      </c>
      <c r="E50" s="53" t="n">
        <f aca="false">E23/SUM(E6,E9,E13,E19,E23)</f>
        <v>-0.0947802197802198</v>
      </c>
      <c r="F50" s="53" t="n">
        <f aca="false">F23/SUM(F6,F9,F13,F19,F23)</f>
        <v>-0.0742824573396353</v>
      </c>
      <c r="G50" s="54" t="n">
        <f aca="false">G23/SUM(G6,G9,G13,G19,G23)</f>
        <v>-0.0988653592803828</v>
      </c>
      <c r="H50" s="53" t="n">
        <f aca="false">H23/SUM(H6,H9,H13,H19,H23)</f>
        <v>-0.0959019403658241</v>
      </c>
      <c r="I50" s="53" t="n">
        <f aca="false">I23/SUM(I6,I9,I13,I19,I23)</f>
        <v>-0.0848640110076628</v>
      </c>
      <c r="J50" s="53" t="n">
        <f aca="false">J23/SUM(J6,J9,J13,J19,J23)</f>
        <v>-0.0505845808526563</v>
      </c>
      <c r="K50" s="53" t="n">
        <f aca="false">K23/SUM(K6,K9,K13,K19,K23)</f>
        <v>-0.0739675033595141</v>
      </c>
      <c r="L50" s="54" t="n">
        <f aca="false">L23/SUM(L6,L9,L13,L19,L23)</f>
        <v>-0.0754213323420248</v>
      </c>
      <c r="M50" s="53" t="n">
        <f aca="false">M23/SUM(M6,M9,M13,M19,M23)</f>
        <v>-0.0484037014595234</v>
      </c>
    </row>
    <row r="51" customFormat="false" ht="12.8" hidden="false" customHeight="false" outlineLevel="0" collapsed="false">
      <c r="B51" s="54"/>
      <c r="C51" s="53"/>
      <c r="D51" s="53"/>
      <c r="E51" s="53"/>
      <c r="F51" s="53"/>
      <c r="G51" s="55"/>
      <c r="H51" s="53"/>
      <c r="I51" s="53"/>
      <c r="J51" s="53"/>
      <c r="K51" s="53"/>
      <c r="L51" s="55"/>
      <c r="M51" s="53"/>
    </row>
    <row r="52" customFormat="false" ht="12.8" hidden="false" customHeight="false" outlineLevel="0" collapsed="false">
      <c r="A52" s="0" t="s">
        <v>78</v>
      </c>
      <c r="B52" s="54" t="n">
        <f aca="false">B22/SUM(B9,B12,B16,B22,B26)</f>
        <v>0.271032071927958</v>
      </c>
      <c r="C52" s="53" t="n">
        <f aca="false">C17/SUM(C7,C4,C10:C12)</f>
        <v>0.542186295085345</v>
      </c>
      <c r="D52" s="53" t="n">
        <f aca="false">D17/SUM(D7,D4,D10:D12)</f>
        <v>0.462769424698234</v>
      </c>
      <c r="E52" s="53" t="n">
        <f aca="false">E17/SUM(E7,E4,E10:E12)</f>
        <v>0.483647431639402</v>
      </c>
      <c r="F52" s="53" t="n">
        <f aca="false">F17/SUM(F7,F4,F10:F12)</f>
        <v>0.502053902485388</v>
      </c>
      <c r="G52" s="54" t="n">
        <f aca="false">G17/SUM(G7,G4,G10:G12)</f>
        <v>0.498242677456225</v>
      </c>
      <c r="H52" s="53" t="n">
        <f aca="false">H17/SUM(H7,H4,H10:H12)</f>
        <v>0.495895451063256</v>
      </c>
      <c r="I52" s="53" t="n">
        <f aca="false">I17/SUM(I7,I4,I10:I12)</f>
        <v>0.553200387703142</v>
      </c>
      <c r="J52" s="53" t="n">
        <f aca="false">J17/SUM(J7,J4,J10:J12)</f>
        <v>0.62917745272794</v>
      </c>
      <c r="K52" s="53" t="n">
        <f aca="false">K17/SUM(K7,K4,K10:K12)</f>
        <v>0.568667211186211</v>
      </c>
      <c r="L52" s="54" t="n">
        <f aca="false">L17/SUM(L7,L4,L10:L12)</f>
        <v>0.562963951926483</v>
      </c>
      <c r="M52" s="53" t="n">
        <f aca="false">M17/SUM(M7,M4,M10:M12)</f>
        <v>0.571446083014415</v>
      </c>
    </row>
    <row r="53" customFormat="false" ht="12.8" hidden="false" customHeight="false" outlineLevel="0" collapsed="false">
      <c r="A53" s="0" t="s">
        <v>79</v>
      </c>
      <c r="B53" s="54" t="n">
        <f aca="false">B26/SUM(B9,B12,B16,B22,B26)</f>
        <v>0.0978640138828385</v>
      </c>
      <c r="C53" s="53" t="n">
        <f aca="false">C27/SUM(C7,C4,C10:C12)</f>
        <v>0.420464297709996</v>
      </c>
      <c r="D53" s="53" t="n">
        <f aca="false">D27/SUM(D7,D4,D10:D12)</f>
        <v>0.333568849596797</v>
      </c>
      <c r="E53" s="53" t="n">
        <f aca="false">E27/SUM(E7,E4,E10:E12)</f>
        <v>0.372793298585148</v>
      </c>
      <c r="F53" s="53" t="n">
        <f aca="false">F27/SUM(F7,F4,F10:F12)</f>
        <v>0.400793294660278</v>
      </c>
      <c r="G53" s="54" t="n">
        <f aca="false">G27/SUM(G7,G4,G10:G12)</f>
        <v>0.382767555312275</v>
      </c>
      <c r="H53" s="53" t="n">
        <f aca="false">H27/SUM(H7,H4,H10:H12)</f>
        <v>0.380997716566819</v>
      </c>
      <c r="I53" s="53" t="n">
        <f aca="false">I27/SUM(I7,I4,I10:I12)</f>
        <v>0.441088620686732</v>
      </c>
      <c r="J53" s="53" t="n">
        <f aca="false">J27/SUM(J7,J4,J10:J12)</f>
        <v>0.532265165885431</v>
      </c>
      <c r="K53" s="53" t="n">
        <f aca="false">K27/SUM(K7,K4,K10:K12)</f>
        <v>0.469060247329906</v>
      </c>
      <c r="L53" s="54" t="n">
        <f aca="false">L27/SUM(L7,L4,L10:L12)</f>
        <v>0.45727695252304</v>
      </c>
      <c r="M53" s="53" t="n">
        <f aca="false">M27/SUM(M7,M4,M10:M12)</f>
        <v>0.480556005712141</v>
      </c>
    </row>
    <row r="54" customFormat="false" ht="12.8" hidden="false" customHeight="false" outlineLevel="0" collapsed="false">
      <c r="A54" s="0" t="s">
        <v>80</v>
      </c>
      <c r="B54" s="54" t="n">
        <f aca="false">B26/B25</f>
        <v>0.0985203046524635</v>
      </c>
      <c r="C54" s="53"/>
      <c r="D54" s="53"/>
      <c r="E54" s="53"/>
      <c r="F54" s="53"/>
      <c r="G54" s="54" t="n">
        <f aca="false">G26/G25</f>
        <v>0.0953850591414219</v>
      </c>
      <c r="H54" s="53"/>
      <c r="I54" s="53"/>
      <c r="J54" s="53"/>
      <c r="K54" s="53"/>
      <c r="L54" s="54" t="n">
        <f aca="false">L26/L25</f>
        <v>0.0921662362978818</v>
      </c>
      <c r="M54" s="53"/>
    </row>
    <row r="55" customFormat="false" ht="12.8" hidden="false" customHeight="false" outlineLevel="0" collapsed="false">
      <c r="B55" s="55"/>
      <c r="L55" s="19"/>
    </row>
    <row r="56" customFormat="false" ht="12.8" hidden="false" customHeight="false" outlineLevel="0" collapsed="false">
      <c r="A56" s="0" t="s">
        <v>81</v>
      </c>
      <c r="B56" s="55"/>
      <c r="F56" s="53"/>
      <c r="G56" s="54" t="n">
        <f aca="false">(SUM(G4,G7,G13:G15)-SUM(B4,B7,B13:B15))/SUM(B4,B7,B13:B15)</f>
        <v>0.0323713658183427</v>
      </c>
      <c r="H56" s="53" t="n">
        <f aca="false">(SUM(H4,H7,H13:H15)-SUM(C4,C7,C13:C15))/SUM(C4,C7,C13:C15)</f>
        <v>0.0197473348712577</v>
      </c>
      <c r="I56" s="53" t="n">
        <f aca="false">(SUM(I4,I7,I13:I15)-SUM(D4,D7,D13:D15))/SUM(D4,D7,D13:D15)</f>
        <v>0.0295618638351797</v>
      </c>
      <c r="J56" s="53" t="n">
        <f aca="false">(SUM(J4,J7,J13:J15)-SUM(E4,E7,E13:E15))/SUM(E4,E7,E13:E15)</f>
        <v>-0.0401655835050541</v>
      </c>
      <c r="K56" s="53" t="n">
        <f aca="false">(SUM(K4,K7,K13:K15)-SUM(F4,F7,F13:F15))/SUM(F4,F7,F13:F15)</f>
        <v>-0.0388992439001623</v>
      </c>
      <c r="L56" s="54" t="n">
        <f aca="false">(SUM(L4,L7,L13:L15)-SUM(G4,G7,G13:G15))/SUM(G4,G7,G13:G15)</f>
        <v>-0.00832373571002509</v>
      </c>
      <c r="M56" s="53" t="n">
        <f aca="false">(SUM(M4,M7,M13:M15)-SUM(H4,H7,H13:H15))/SUM(H4,H7,H13:H15)</f>
        <v>0.032925609710758</v>
      </c>
    </row>
    <row r="57" customFormat="false" ht="12.8" hidden="false" customHeight="false" outlineLevel="0" collapsed="false">
      <c r="A57" s="0" t="s">
        <v>82</v>
      </c>
      <c r="B57" s="55"/>
      <c r="F57" s="53"/>
      <c r="G57" s="54" t="n">
        <f aca="false">(SUM(G5,G8,G14:G16)-SUM(B5,B8,B14:B16))/SUM(B5,B8,B14:B16)</f>
        <v>0.0757267165471515</v>
      </c>
      <c r="H57" s="53" t="n">
        <f aca="false">(SUM(H5,H8,H14:H16)-SUM(C5,C8,C14:C16))/SUM(C5,C8,C14:C16)</f>
        <v>0.0781499076189782</v>
      </c>
      <c r="I57" s="53" t="n">
        <f aca="false">(SUM(I5,I8,I14:I16)-SUM(D5,D8,D14:D16))/SUM(D5,D8,D14:D16)</f>
        <v>-0.0929323670596874</v>
      </c>
      <c r="J57" s="53" t="n">
        <f aca="false">(SUM(J5,J8,J14:J16)-SUM(E5,E8,E14:E16))/SUM(E5,E8,E14:E16)</f>
        <v>-0.236668321395646</v>
      </c>
      <c r="K57" s="53" t="n">
        <f aca="false">(SUM(K5,K8,K14:K16)-SUM(F5,F8,F14:F16))/SUM(F5,F8,F14:F16)</f>
        <v>-0.114915369212189</v>
      </c>
      <c r="L57" s="54" t="n">
        <f aca="false">(SUM(L5,L8,L14:L16)-SUM(G5,G8,G14:G16))/SUM(G5,G8,G14:G16)</f>
        <v>-0.0961698739604752</v>
      </c>
      <c r="M57" s="53" t="n">
        <f aca="false">(SUM(M5,M8,M14:M16)-SUM(H5,H8,H14:H16))/SUM(H5,H8,H14:H16)</f>
        <v>-0.0905260280334685</v>
      </c>
    </row>
    <row r="58" customFormat="false" ht="12.8" hidden="false" customHeight="false" outlineLevel="0" collapsed="false">
      <c r="A58" s="0" t="s">
        <v>83</v>
      </c>
      <c r="F58" s="53"/>
      <c r="G58" s="54" t="n">
        <f aca="false">(G17-B17)/B17</f>
        <v>-0.0978933876507147</v>
      </c>
      <c r="H58" s="53" t="n">
        <f aca="false">(H17-C17)/C17</f>
        <v>-0.104451910456029</v>
      </c>
      <c r="I58" s="53" t="n">
        <f aca="false">(I17-D17)/D17</f>
        <v>0.303783326590178</v>
      </c>
      <c r="J58" s="53" t="n">
        <f aca="false">(J17-E17)/E17</f>
        <v>0.382731191881198</v>
      </c>
      <c r="K58" s="53" t="n">
        <f aca="false">(K17-F17)/F17</f>
        <v>0.157344094406175</v>
      </c>
      <c r="L58" s="54" t="n">
        <f aca="false">(L17-G17)/G17</f>
        <v>0.172473224902725</v>
      </c>
      <c r="M58" s="53" t="n">
        <f aca="false">(M17-H17)/H17</f>
        <v>0.232794130170725</v>
      </c>
    </row>
    <row r="59" customFormat="false" ht="12.8" hidden="false" customHeight="false" outlineLevel="0" collapsed="false">
      <c r="A59" s="0" t="s">
        <v>84</v>
      </c>
      <c r="G59" s="54" t="n">
        <f aca="false">(G27-B27)/B27</f>
        <v>-0.167127752559166</v>
      </c>
      <c r="H59" s="55" t="n">
        <f aca="false">(H27-C27)/C27</f>
        <v>-0.112761108149283</v>
      </c>
      <c r="I59" s="55" t="n">
        <f aca="false">(I27-D27)/D27</f>
        <v>0.442208234682682</v>
      </c>
      <c r="J59" s="55" t="n">
        <f aca="false">(J27-E27)/E27</f>
        <v>0.517586458898135</v>
      </c>
      <c r="K59" s="55" t="n">
        <f aca="false">(K27-F27)/F27</f>
        <v>0.195811815567549</v>
      </c>
      <c r="L59" s="54" t="n">
        <f aca="false">(L27-G27)/G27</f>
        <v>0.239673924231957</v>
      </c>
      <c r="M59" s="55" t="n">
        <f aca="false">(M27-H27)/H27</f>
        <v>0.349357596924399</v>
      </c>
    </row>
    <row r="60" customFormat="false" ht="12.8" hidden="false" customHeight="false" outlineLevel="0" collapsed="false">
      <c r="A60" s="56" t="s">
        <v>85</v>
      </c>
      <c r="B60" s="57" t="s">
        <v>85</v>
      </c>
      <c r="C60" s="57"/>
      <c r="D60" s="57"/>
    </row>
    <row r="61" customFormat="false" ht="12.8" hidden="false" customHeight="false" outlineLevel="0" collapsed="false">
      <c r="B61" s="22" t="n">
        <v>2019</v>
      </c>
      <c r="C61" s="22" t="n">
        <v>2020</v>
      </c>
      <c r="D61" s="22" t="n">
        <v>2021</v>
      </c>
    </row>
    <row r="62" customFormat="false" ht="12.8" hidden="false" customHeight="false" outlineLevel="0" collapsed="false">
      <c r="A62" s="0" t="s">
        <v>86</v>
      </c>
      <c r="B62" s="58" t="n">
        <f aca="false">(B27/Средства!B27)</f>
        <v>0.0251570959247649</v>
      </c>
      <c r="C62" s="58" t="n">
        <f aca="false">(G27/Средства!C27)</f>
        <v>0.0197036148400755</v>
      </c>
      <c r="D62" s="59" t="n">
        <f aca="false">G27/Средства!D27</f>
        <v>0.0183055880211913</v>
      </c>
    </row>
    <row r="63" customFormat="false" ht="12.8" hidden="false" customHeight="false" outlineLevel="0" collapsed="false">
      <c r="A63" s="0" t="s">
        <v>87</v>
      </c>
      <c r="B63" s="58" t="n">
        <f aca="false">B27/Средства!G32</f>
        <v>0.164355124268328</v>
      </c>
      <c r="C63" s="58" t="n">
        <f aca="false">G27/Средства!H32</f>
        <v>0.120340196957164</v>
      </c>
      <c r="D63" s="59" t="n">
        <f aca="false">L27/Средства!I32</f>
        <v>0.130824760024573</v>
      </c>
    </row>
    <row r="64" customFormat="false" ht="12.8" hidden="false" customHeight="false" outlineLevel="0" collapsed="false">
      <c r="A64" s="0" t="s">
        <v>88</v>
      </c>
      <c r="B64" s="58" t="n">
        <f aca="false">(Опис!E5/B27)</f>
        <v>0.000558247549293259</v>
      </c>
      <c r="C64" s="59" t="n">
        <f aca="false">(Опис!E5/G27)</f>
        <v>0.000670267920450688</v>
      </c>
      <c r="D64" s="59" t="n">
        <f aca="false">(Опис!E5/L27)</f>
        <v>0.000540680825295212</v>
      </c>
    </row>
    <row r="65" customFormat="false" ht="12.8" hidden="false" customHeight="false" outlineLevel="0" collapsed="false">
      <c r="A65" s="0" t="s">
        <v>89</v>
      </c>
      <c r="B65" s="59" t="n">
        <f aca="false">(Опис!E5/Средства!G32)</f>
        <v>9.17508453365831E-005</v>
      </c>
      <c r="C65" s="59" t="n">
        <f aca="false">(Опис!E5/Средства!H32)</f>
        <v>8.06601735611046E-005</v>
      </c>
      <c r="D65" s="59" t="n">
        <f aca="false">(Опис!E5/Средства!I32)</f>
        <v>7.07344392191342E-005</v>
      </c>
    </row>
    <row r="66" customFormat="false" ht="12.8" hidden="false" customHeight="false" outlineLevel="0" collapsed="false">
      <c r="A66" s="60" t="s">
        <v>90</v>
      </c>
      <c r="B66" s="61" t="s">
        <v>90</v>
      </c>
      <c r="C66" s="61"/>
      <c r="D66" s="61"/>
    </row>
    <row r="67" customFormat="false" ht="12.8" hidden="false" customHeight="false" outlineLevel="0" collapsed="false">
      <c r="B67" s="22" t="n">
        <v>2019</v>
      </c>
      <c r="C67" s="22" t="n">
        <v>2020</v>
      </c>
      <c r="D67" s="62" t="n">
        <v>2021</v>
      </c>
    </row>
    <row r="68" customFormat="false" ht="12.8" hidden="false" customHeight="false" outlineLevel="0" collapsed="false">
      <c r="A68" s="0" t="s">
        <v>91</v>
      </c>
      <c r="B68" s="58" t="n">
        <f aca="false">Средства!G32/Средства!G22</f>
        <v>0.18072783047022</v>
      </c>
      <c r="C68" s="58" t="n">
        <f aca="false">Средства!H32/Средства!H22</f>
        <v>0.205096359645371</v>
      </c>
      <c r="D68" s="58" t="n">
        <f aca="false">Средства!I32/Средства!I22</f>
        <v>0.2098638898208</v>
      </c>
    </row>
    <row r="69" customFormat="false" ht="12.8" hidden="false" customHeight="false" outlineLevel="0" collapsed="false">
      <c r="A69" s="0" t="s">
        <v>92</v>
      </c>
      <c r="B69" s="58" t="n">
        <f aca="false">Средства!G22/Средства!B27</f>
        <v>0.84693917492163</v>
      </c>
      <c r="C69" s="58" t="n">
        <f aca="false">Средства!H22/Средства!C27</f>
        <v>0.798320422714046</v>
      </c>
      <c r="D69" s="58" t="n">
        <f aca="false">Средства!I22/Средства!D27</f>
        <v>0.826539256534151</v>
      </c>
    </row>
    <row r="70" customFormat="false" ht="12.8" hidden="false" customHeight="false" outlineLevel="0" collapsed="false">
      <c r="A70" s="0" t="s">
        <v>93</v>
      </c>
      <c r="B70" s="58" t="n">
        <f aca="false">Средства!B5/SUM(Средства!G7:G8)</f>
        <v>0.262839018671979</v>
      </c>
      <c r="C70" s="58" t="n">
        <f aca="false">Средства!C5/SUM(Средства!H7:H8)</f>
        <v>0.209709197802026</v>
      </c>
      <c r="D70" s="58" t="n">
        <f aca="false">Средства!D5/SUM(Средства!I7:J8)</f>
        <v>0.229067813799558</v>
      </c>
    </row>
  </sheetData>
  <mergeCells count="7">
    <mergeCell ref="A3:M3"/>
    <mergeCell ref="A18:M18"/>
    <mergeCell ref="A20:M20"/>
    <mergeCell ref="A24:M24"/>
    <mergeCell ref="A41:M41"/>
    <mergeCell ref="B60:D60"/>
    <mergeCell ref="B66:D66"/>
  </mergeCells>
  <hyperlinks>
    <hyperlink ref="A1" location="Опис" display="Назад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8.48"/>
    <col collapsed="false" customWidth="true" hidden="false" outlineLevel="0" max="2" min="2" style="24" width="11.54"/>
    <col collapsed="false" customWidth="true" hidden="false" outlineLevel="0" max="3" min="3" style="63" width="11.54"/>
    <col collapsed="false" customWidth="true" hidden="false" outlineLevel="0" max="4" min="4" style="24" width="11.54"/>
    <col collapsed="false" customWidth="true" hidden="false" outlineLevel="0" max="5" min="5" style="24" width="11.52"/>
    <col collapsed="false" customWidth="true" hidden="false" outlineLevel="0" max="6" min="6" style="0" width="29.08"/>
    <col collapsed="false" customWidth="true" hidden="false" outlineLevel="0" max="9" min="7" style="16" width="11.54"/>
  </cols>
  <sheetData>
    <row r="1" customFormat="false" ht="12.8" hidden="false" customHeight="false" outlineLevel="0" collapsed="false">
      <c r="A1" s="2" t="s">
        <v>21</v>
      </c>
      <c r="B1" s="64"/>
      <c r="D1" s="64"/>
      <c r="E1" s="64"/>
      <c r="G1" s="0"/>
      <c r="H1" s="0"/>
      <c r="I1" s="0"/>
    </row>
    <row r="2" customFormat="false" ht="12.8" hidden="false" customHeight="false" outlineLevel="0" collapsed="false">
      <c r="A2" s="0" t="s">
        <v>94</v>
      </c>
      <c r="B2" s="64"/>
      <c r="D2" s="64"/>
      <c r="E2" s="64"/>
      <c r="G2" s="0"/>
      <c r="H2" s="0"/>
      <c r="I2" s="0"/>
    </row>
    <row r="3" customFormat="false" ht="12.8" hidden="false" customHeight="false" outlineLevel="0" collapsed="false">
      <c r="B3" s="65" t="n">
        <v>2019</v>
      </c>
      <c r="C3" s="66" t="n">
        <v>2020</v>
      </c>
      <c r="D3" s="65" t="n">
        <v>2021</v>
      </c>
      <c r="E3" s="67"/>
      <c r="G3" s="65" t="n">
        <v>2019</v>
      </c>
      <c r="H3" s="66" t="n">
        <v>2020</v>
      </c>
      <c r="I3" s="65" t="n">
        <v>2021</v>
      </c>
    </row>
    <row r="4" customFormat="false" ht="12.8" hidden="false" customHeight="false" outlineLevel="0" collapsed="false">
      <c r="A4" s="68" t="s">
        <v>95</v>
      </c>
      <c r="B4" s="68"/>
      <c r="C4" s="68"/>
      <c r="D4" s="68"/>
      <c r="E4" s="69"/>
      <c r="F4" s="70" t="s">
        <v>96</v>
      </c>
      <c r="G4" s="70"/>
      <c r="H4" s="70"/>
      <c r="I4" s="70"/>
    </row>
    <row r="5" customFormat="false" ht="12.8" hidden="false" customHeight="false" outlineLevel="0" collapsed="false">
      <c r="A5" s="0" t="s">
        <v>97</v>
      </c>
      <c r="B5" s="71" t="n">
        <v>21846069</v>
      </c>
      <c r="C5" s="72" t="n">
        <v>17376605</v>
      </c>
      <c r="D5" s="72" t="n">
        <v>20867797</v>
      </c>
      <c r="E5" s="73"/>
      <c r="F5" s="0" t="s">
        <v>98</v>
      </c>
      <c r="G5" s="74" t="n">
        <v>0</v>
      </c>
      <c r="H5" s="74" t="n">
        <v>0</v>
      </c>
      <c r="I5" s="74" t="n">
        <v>0</v>
      </c>
    </row>
    <row r="6" customFormat="false" ht="12.8" hidden="false" customHeight="false" outlineLevel="0" collapsed="false">
      <c r="A6" s="0" t="s">
        <v>99</v>
      </c>
      <c r="B6" s="71"/>
      <c r="C6" s="72"/>
      <c r="D6" s="72"/>
      <c r="E6" s="69"/>
      <c r="F6" s="0" t="s">
        <v>100</v>
      </c>
      <c r="G6" s="74" t="n">
        <v>0</v>
      </c>
      <c r="H6" s="74" t="n">
        <v>0</v>
      </c>
      <c r="I6" s="74" t="n">
        <v>72595</v>
      </c>
    </row>
    <row r="7" customFormat="false" ht="12.8" hidden="false" customHeight="false" outlineLevel="0" collapsed="false">
      <c r="A7" s="30" t="s">
        <v>101</v>
      </c>
      <c r="B7" s="24" t="n">
        <v>3763</v>
      </c>
      <c r="C7" s="63" t="n">
        <v>2698</v>
      </c>
      <c r="D7" s="24" t="n">
        <v>1999</v>
      </c>
      <c r="E7" s="69"/>
      <c r="F7" s="75" t="s">
        <v>102</v>
      </c>
      <c r="G7" s="74" t="n">
        <v>258236</v>
      </c>
      <c r="H7" s="74" t="n">
        <v>237804</v>
      </c>
      <c r="I7" s="74" t="n">
        <v>1425335</v>
      </c>
    </row>
    <row r="8" customFormat="false" ht="12.8" hidden="false" customHeight="false" outlineLevel="0" collapsed="false">
      <c r="A8" s="0" t="s">
        <v>103</v>
      </c>
      <c r="B8" s="24" t="n">
        <v>33123</v>
      </c>
      <c r="C8" s="63" t="n">
        <v>63912</v>
      </c>
      <c r="D8" s="24" t="n">
        <v>0</v>
      </c>
      <c r="E8" s="69"/>
      <c r="F8" s="0" t="s">
        <v>104</v>
      </c>
      <c r="G8" s="74" t="n">
        <v>82857540</v>
      </c>
      <c r="H8" s="74" t="n">
        <v>82622677</v>
      </c>
      <c r="I8" s="74" t="n">
        <v>89673439</v>
      </c>
      <c r="J8" s="10"/>
    </row>
    <row r="9" customFormat="false" ht="12.8" hidden="false" customHeight="false" outlineLevel="0" collapsed="false">
      <c r="A9" s="0" t="s">
        <v>105</v>
      </c>
      <c r="B9" s="24" t="n">
        <v>1355825</v>
      </c>
      <c r="C9" s="63" t="n">
        <v>1483331</v>
      </c>
      <c r="D9" s="24" t="n">
        <v>1562418</v>
      </c>
      <c r="E9" s="69"/>
      <c r="F9" s="0" t="s">
        <v>96</v>
      </c>
      <c r="G9" s="76" t="n">
        <f aca="false">SUM(G5:G8)</f>
        <v>83115776</v>
      </c>
      <c r="H9" s="76" t="n">
        <f aca="false">SUM(H5:H8)</f>
        <v>82860481</v>
      </c>
      <c r="I9" s="76" t="n">
        <f aca="false">SUM(I5:I8)</f>
        <v>91171369</v>
      </c>
    </row>
    <row r="10" customFormat="false" ht="12.8" hidden="false" customHeight="false" outlineLevel="0" collapsed="false">
      <c r="A10" s="0" t="s">
        <v>95</v>
      </c>
      <c r="B10" s="27" t="n">
        <f aca="false">SUM(B5:B9)</f>
        <v>23238780</v>
      </c>
      <c r="C10" s="27" t="n">
        <f aca="false">SUM(C5:C9)</f>
        <v>18926546</v>
      </c>
      <c r="D10" s="27" t="n">
        <f aca="false">SUM(D5:D9)</f>
        <v>22432214</v>
      </c>
      <c r="E10" s="69"/>
      <c r="F10" s="77" t="s">
        <v>106</v>
      </c>
      <c r="G10" s="77"/>
      <c r="H10" s="77"/>
      <c r="I10" s="77"/>
    </row>
    <row r="11" customFormat="false" ht="12.8" hidden="false" customHeight="false" outlineLevel="0" collapsed="false">
      <c r="A11" s="78" t="s">
        <v>107</v>
      </c>
      <c r="B11" s="78"/>
      <c r="C11" s="78"/>
      <c r="D11" s="78"/>
      <c r="E11" s="69"/>
      <c r="F11" s="0" t="s">
        <v>108</v>
      </c>
      <c r="G11" s="74" t="n">
        <v>0</v>
      </c>
      <c r="H11" s="74" t="n">
        <v>0</v>
      </c>
      <c r="I11" s="74" t="n">
        <v>0</v>
      </c>
    </row>
    <row r="12" customFormat="false" ht="12.8" hidden="false" customHeight="false" outlineLevel="0" collapsed="false">
      <c r="A12" s="0" t="s">
        <v>109</v>
      </c>
      <c r="B12" s="24" t="n">
        <v>847631</v>
      </c>
      <c r="C12" s="63" t="n">
        <v>828914</v>
      </c>
      <c r="D12" s="24" t="n">
        <v>819129</v>
      </c>
      <c r="E12" s="69"/>
      <c r="F12" s="0" t="s">
        <v>110</v>
      </c>
      <c r="G12" s="74" t="n">
        <v>0</v>
      </c>
      <c r="H12" s="74" t="n">
        <v>0</v>
      </c>
      <c r="I12" s="74" t="n">
        <v>0</v>
      </c>
    </row>
    <row r="13" customFormat="false" ht="12.8" hidden="false" customHeight="false" outlineLevel="0" collapsed="false">
      <c r="A13" s="30" t="s">
        <v>111</v>
      </c>
      <c r="B13" s="24" t="n">
        <v>125463</v>
      </c>
      <c r="C13" s="63" t="n">
        <v>127670</v>
      </c>
      <c r="D13" s="24" t="n">
        <v>111435</v>
      </c>
      <c r="E13" s="79"/>
      <c r="F13" s="0" t="s">
        <v>112</v>
      </c>
      <c r="G13" s="74" t="n">
        <v>0</v>
      </c>
      <c r="H13" s="74" t="n">
        <v>0</v>
      </c>
      <c r="I13" s="74" t="n">
        <v>0</v>
      </c>
    </row>
    <row r="14" customFormat="false" ht="12.8" hidden="false" customHeight="false" outlineLevel="0" collapsed="false">
      <c r="A14" s="30" t="s">
        <v>113</v>
      </c>
      <c r="B14" s="24" t="n">
        <v>0</v>
      </c>
      <c r="C14" s="63" t="n">
        <v>0</v>
      </c>
      <c r="D14" s="24" t="n">
        <v>0</v>
      </c>
      <c r="E14" s="69"/>
      <c r="F14" s="0" t="s">
        <v>114</v>
      </c>
      <c r="G14" s="74" t="n">
        <v>0</v>
      </c>
      <c r="H14" s="74" t="n">
        <v>0</v>
      </c>
      <c r="I14" s="74" t="n">
        <v>0</v>
      </c>
    </row>
    <row r="15" customFormat="false" ht="12.8" hidden="false" customHeight="false" outlineLevel="0" collapsed="false">
      <c r="A15" s="80" t="s">
        <v>115</v>
      </c>
      <c r="B15" s="24" t="n">
        <v>243333</v>
      </c>
      <c r="C15" s="63" t="n">
        <v>224193</v>
      </c>
      <c r="D15" s="24" t="n">
        <v>278118</v>
      </c>
      <c r="E15" s="69"/>
      <c r="F15" s="0" t="s">
        <v>116</v>
      </c>
      <c r="G15" s="74" t="n">
        <v>214344</v>
      </c>
      <c r="H15" s="74" t="n">
        <v>529540</v>
      </c>
      <c r="I15" s="74" t="n">
        <v>1686298</v>
      </c>
    </row>
    <row r="16" customFormat="false" ht="14.65" hidden="false" customHeight="false" outlineLevel="0" collapsed="false">
      <c r="A16" s="80" t="s">
        <v>117</v>
      </c>
      <c r="B16" s="24" t="n">
        <v>66498099</v>
      </c>
      <c r="C16" s="63" t="n">
        <v>70999971</v>
      </c>
      <c r="D16" s="24" t="n">
        <v>78037088</v>
      </c>
      <c r="E16" s="69"/>
      <c r="F16" s="30" t="s">
        <v>118</v>
      </c>
      <c r="G16" s="74" t="n">
        <v>79918</v>
      </c>
      <c r="H16" s="74" t="n">
        <v>97627</v>
      </c>
      <c r="I16" s="74" t="n">
        <v>107431</v>
      </c>
    </row>
    <row r="17" customFormat="false" ht="12.8" hidden="false" customHeight="false" outlineLevel="0" collapsed="false">
      <c r="A17" s="0" t="s">
        <v>119</v>
      </c>
      <c r="B17" s="24" t="n">
        <v>0</v>
      </c>
      <c r="C17" s="63" t="n">
        <v>0</v>
      </c>
      <c r="D17" s="24" t="n">
        <v>0</v>
      </c>
      <c r="E17" s="69"/>
      <c r="F17" s="0" t="s">
        <v>120</v>
      </c>
      <c r="G17" s="74" t="n">
        <v>0</v>
      </c>
      <c r="H17" s="74"/>
      <c r="I17" s="74" t="n">
        <v>0</v>
      </c>
    </row>
    <row r="18" customFormat="false" ht="12.8" hidden="false" customHeight="false" outlineLevel="0" collapsed="false">
      <c r="A18" s="0" t="s">
        <v>121</v>
      </c>
      <c r="B18" s="24" t="n">
        <v>0</v>
      </c>
      <c r="C18" s="63" t="n">
        <v>0</v>
      </c>
      <c r="D18" s="24" t="n">
        <v>0</v>
      </c>
      <c r="E18" s="69"/>
      <c r="F18" s="0" t="s">
        <v>122</v>
      </c>
      <c r="G18" s="74" t="n">
        <v>0</v>
      </c>
      <c r="H18" s="74"/>
      <c r="I18" s="74" t="n">
        <v>0</v>
      </c>
    </row>
    <row r="19" customFormat="false" ht="12.8" hidden="false" customHeight="false" outlineLevel="0" collapsed="false">
      <c r="A19" s="0" t="s">
        <v>123</v>
      </c>
      <c r="B19" s="24" t="n">
        <v>8692169</v>
      </c>
      <c r="C19" s="63" t="n">
        <v>14713650</v>
      </c>
      <c r="D19" s="24" t="n">
        <v>12297667</v>
      </c>
      <c r="E19" s="69"/>
      <c r="F19" s="0" t="s">
        <v>124</v>
      </c>
      <c r="G19" s="74" t="n">
        <v>1019211</v>
      </c>
      <c r="H19" s="74" t="n">
        <v>1139739</v>
      </c>
      <c r="I19" s="74" t="n">
        <v>1345262</v>
      </c>
    </row>
    <row r="20" customFormat="false" ht="12.8" hidden="false" customHeight="false" outlineLevel="0" collapsed="false">
      <c r="A20" s="0" t="s">
        <v>125</v>
      </c>
      <c r="B20" s="24" t="n">
        <v>0</v>
      </c>
      <c r="C20" s="63" t="n">
        <v>0</v>
      </c>
      <c r="D20" s="24" t="n">
        <v>0</v>
      </c>
      <c r="E20" s="69"/>
      <c r="F20" s="0" t="s">
        <v>126</v>
      </c>
      <c r="G20" s="76" t="n">
        <f aca="false">SUM(G11:G19)</f>
        <v>1313473</v>
      </c>
      <c r="H20" s="76" t="n">
        <f aca="false">SUM(H11:H19)</f>
        <v>1766906</v>
      </c>
      <c r="I20" s="76" t="n">
        <f aca="false">SUM(I11:I19)</f>
        <v>3138991</v>
      </c>
    </row>
    <row r="21" customFormat="false" ht="12.8" hidden="false" customHeight="false" outlineLevel="0" collapsed="false">
      <c r="A21" s="30" t="s">
        <v>127</v>
      </c>
      <c r="B21" s="24" t="n">
        <v>0</v>
      </c>
      <c r="C21" s="63" t="n">
        <v>0</v>
      </c>
      <c r="D21" s="24" t="n">
        <v>0</v>
      </c>
      <c r="E21" s="69"/>
      <c r="G21" s="0"/>
      <c r="H21" s="0"/>
      <c r="I21" s="0"/>
    </row>
    <row r="22" customFormat="false" ht="12.8" hidden="false" customHeight="false" outlineLevel="0" collapsed="false">
      <c r="A22" s="30" t="s">
        <v>128</v>
      </c>
      <c r="B22" s="24" t="n">
        <v>42025</v>
      </c>
      <c r="C22" s="63" t="n">
        <v>185848</v>
      </c>
      <c r="D22" s="24" t="n">
        <v>127048</v>
      </c>
      <c r="E22" s="69"/>
      <c r="F22" s="0" t="s">
        <v>129</v>
      </c>
      <c r="G22" s="74" t="n">
        <f aca="false">+G9+G20</f>
        <v>84429249</v>
      </c>
      <c r="H22" s="74" t="n">
        <f aca="false">+H9+H20</f>
        <v>84627387</v>
      </c>
      <c r="I22" s="74" t="n">
        <f aca="false">+I9+I20</f>
        <v>94310360</v>
      </c>
    </row>
    <row r="23" customFormat="false" ht="12.8" hidden="false" customHeight="false" outlineLevel="0" collapsed="false">
      <c r="A23" s="30" t="s">
        <v>130</v>
      </c>
      <c r="B23" s="24" t="n">
        <v>0</v>
      </c>
      <c r="C23" s="63" t="n">
        <v>0</v>
      </c>
      <c r="D23" s="24" t="n">
        <v>0</v>
      </c>
      <c r="E23" s="69"/>
      <c r="G23" s="0"/>
      <c r="H23" s="0"/>
      <c r="I23" s="0"/>
    </row>
    <row r="24" customFormat="false" ht="12.8" hidden="false" customHeight="false" outlineLevel="0" collapsed="false">
      <c r="A24" s="30" t="s">
        <v>131</v>
      </c>
      <c r="B24" s="24" t="n">
        <v>0</v>
      </c>
      <c r="C24" s="63" t="n">
        <v>0</v>
      </c>
      <c r="D24" s="24" t="n">
        <v>0</v>
      </c>
      <c r="E24" s="69"/>
      <c r="F24" s="81" t="s">
        <v>132</v>
      </c>
      <c r="G24" s="81"/>
      <c r="H24" s="81"/>
      <c r="I24" s="81"/>
    </row>
    <row r="25" customFormat="false" ht="12.8" hidden="false" customHeight="false" outlineLevel="0" collapsed="false">
      <c r="A25" s="0" t="s">
        <v>133</v>
      </c>
      <c r="B25" s="27" t="n">
        <f aca="false">SUM(B12:B24)</f>
        <v>76448720</v>
      </c>
      <c r="C25" s="27" t="n">
        <f aca="false">SUM(C12:C24)</f>
        <v>87080246</v>
      </c>
      <c r="D25" s="27" t="n">
        <f aca="false">SUM(D12:D24)</f>
        <v>91670485</v>
      </c>
      <c r="E25" s="69"/>
      <c r="F25" s="0" t="s">
        <v>134</v>
      </c>
      <c r="G25" s="74" t="n">
        <v>3511242</v>
      </c>
      <c r="H25" s="74" t="n">
        <v>3511242</v>
      </c>
      <c r="I25" s="74" t="n">
        <v>3511242</v>
      </c>
    </row>
    <row r="26" customFormat="false" ht="12.8" hidden="false" customHeight="false" outlineLevel="0" collapsed="false">
      <c r="B26" s="64"/>
      <c r="D26" s="64"/>
      <c r="E26" s="69"/>
      <c r="F26" s="0" t="s">
        <v>135</v>
      </c>
      <c r="G26" s="74" t="n">
        <v>0</v>
      </c>
      <c r="H26" s="74" t="n">
        <v>0</v>
      </c>
      <c r="I26" s="74" t="n">
        <v>0</v>
      </c>
    </row>
    <row r="27" customFormat="false" ht="12.8" hidden="false" customHeight="false" outlineLevel="0" collapsed="false">
      <c r="A27" s="0" t="s">
        <v>136</v>
      </c>
      <c r="B27" s="24" t="n">
        <f aca="false">B25+B10</f>
        <v>99687500</v>
      </c>
      <c r="C27" s="24" t="n">
        <f aca="false">C25+C10</f>
        <v>106006792</v>
      </c>
      <c r="D27" s="24" t="n">
        <f aca="false">D25+D10</f>
        <v>114102699</v>
      </c>
      <c r="E27" s="69"/>
      <c r="F27" s="0" t="s">
        <v>137</v>
      </c>
      <c r="G27" s="74" t="n">
        <v>0</v>
      </c>
      <c r="H27" s="74" t="n">
        <v>0</v>
      </c>
      <c r="I27" s="74" t="n">
        <v>0</v>
      </c>
    </row>
    <row r="28" customFormat="false" ht="12.8" hidden="false" customHeight="false" outlineLevel="0" collapsed="false">
      <c r="B28" s="64"/>
      <c r="D28" s="64"/>
      <c r="E28" s="64"/>
      <c r="F28" s="0" t="s">
        <v>138</v>
      </c>
      <c r="G28" s="74" t="n">
        <v>0</v>
      </c>
      <c r="H28" s="74" t="n">
        <v>0</v>
      </c>
      <c r="I28" s="74" t="n">
        <v>0</v>
      </c>
    </row>
    <row r="29" customFormat="false" ht="12.8" hidden="false" customHeight="false" outlineLevel="0" collapsed="false">
      <c r="A29" s="0" t="s">
        <v>139</v>
      </c>
      <c r="B29" s="24" t="n">
        <f aca="false">(((+B5+B6)-(G7+G8))*0.2)+(B7-G5)</f>
        <v>-12250178.4</v>
      </c>
      <c r="C29" s="24" t="n">
        <f aca="false">(((+C5+C6)-(H7+H8))*0.2)+(C7-H5)</f>
        <v>-13094077.2</v>
      </c>
      <c r="D29" s="24" t="n">
        <f aca="false">(((+D5+D6)-(I7+I8))*0.2)+(D7-I5)</f>
        <v>-14044196.4</v>
      </c>
      <c r="E29" s="64"/>
      <c r="F29" s="0" t="s">
        <v>140</v>
      </c>
      <c r="G29" s="74" t="n">
        <v>24552</v>
      </c>
      <c r="H29" s="74" t="n">
        <v>165854</v>
      </c>
      <c r="I29" s="74" t="n">
        <v>112832</v>
      </c>
    </row>
    <row r="30" customFormat="false" ht="12.8" hidden="false" customHeight="false" outlineLevel="0" collapsed="false">
      <c r="B30" s="0"/>
      <c r="C30" s="0"/>
      <c r="D30" s="0"/>
      <c r="E30" s="64"/>
      <c r="F30" s="0" t="s">
        <v>141</v>
      </c>
      <c r="G30" s="74" t="n">
        <v>831837</v>
      </c>
      <c r="H30" s="74" t="n">
        <v>831373</v>
      </c>
      <c r="I30" s="74" t="n">
        <v>831373</v>
      </c>
    </row>
    <row r="31" customFormat="false" ht="12.8" hidden="false" customHeight="false" outlineLevel="0" collapsed="false">
      <c r="B31" s="64"/>
      <c r="D31" s="64"/>
      <c r="E31" s="64"/>
      <c r="F31" s="0" t="s">
        <v>142</v>
      </c>
      <c r="G31" s="74" t="n">
        <v>10891084</v>
      </c>
      <c r="H31" s="74" t="n">
        <v>12848300</v>
      </c>
      <c r="I31" s="74" t="n">
        <v>15336892</v>
      </c>
    </row>
    <row r="32" customFormat="false" ht="12.8" hidden="false" customHeight="false" outlineLevel="0" collapsed="false">
      <c r="B32" s="64"/>
      <c r="D32" s="64"/>
      <c r="E32" s="64"/>
      <c r="F32" s="0" t="s">
        <v>143</v>
      </c>
      <c r="G32" s="76" t="n">
        <f aca="false">SUM(G25:G31)</f>
        <v>15258715</v>
      </c>
      <c r="H32" s="76" t="n">
        <f aca="false">SUM(H25:H31)</f>
        <v>17356769</v>
      </c>
      <c r="I32" s="76" t="n">
        <f aca="false">SUM(I25:I31)</f>
        <v>19792339</v>
      </c>
    </row>
    <row r="33" customFormat="false" ht="12.8" hidden="false" customHeight="false" outlineLevel="0" collapsed="false">
      <c r="B33" s="64"/>
      <c r="D33" s="64"/>
      <c r="E33" s="64"/>
      <c r="G33" s="82"/>
      <c r="H33" s="82"/>
      <c r="I33" s="82"/>
    </row>
    <row r="34" customFormat="false" ht="12.8" hidden="false" customHeight="false" outlineLevel="0" collapsed="false">
      <c r="B34" s="64"/>
      <c r="D34" s="64"/>
      <c r="E34" s="64"/>
      <c r="F34" s="0" t="s">
        <v>144</v>
      </c>
      <c r="G34" s="74" t="n">
        <f aca="false">G32+G22</f>
        <v>99687964</v>
      </c>
      <c r="H34" s="74" t="n">
        <f aca="false">H32+H22</f>
        <v>101984156</v>
      </c>
      <c r="I34" s="74" t="n">
        <f aca="false">I32+I22</f>
        <v>114102699</v>
      </c>
    </row>
    <row r="35" customFormat="false" ht="12.8" hidden="false" customHeight="false" outlineLevel="0" collapsed="false">
      <c r="B35" s="64"/>
      <c r="D35" s="64"/>
      <c r="E35" s="64"/>
    </row>
    <row r="36" customFormat="false" ht="12.8" hidden="false" customHeight="false" outlineLevel="0" collapsed="false">
      <c r="B36" s="64"/>
      <c r="D36" s="64"/>
      <c r="E36" s="64"/>
    </row>
    <row r="37" customFormat="false" ht="12.8" hidden="false" customHeight="false" outlineLevel="0" collapsed="false">
      <c r="B37" s="64"/>
      <c r="D37" s="64"/>
      <c r="E37" s="64"/>
    </row>
    <row r="38" customFormat="false" ht="12.8" hidden="false" customHeight="false" outlineLevel="0" collapsed="false">
      <c r="B38" s="64"/>
      <c r="D38" s="64"/>
      <c r="E38" s="64"/>
    </row>
    <row r="39" customFormat="false" ht="12.8" hidden="false" customHeight="false" outlineLevel="0" collapsed="false">
      <c r="B39" s="64"/>
      <c r="D39" s="64"/>
      <c r="E39" s="64"/>
    </row>
    <row r="40" customFormat="false" ht="12.8" hidden="false" customHeight="false" outlineLevel="0" collapsed="false">
      <c r="B40" s="64"/>
      <c r="D40" s="64"/>
      <c r="E40" s="64"/>
    </row>
    <row r="41" customFormat="false" ht="12.8" hidden="false" customHeight="false" outlineLevel="0" collapsed="false">
      <c r="B41" s="64"/>
      <c r="D41" s="64"/>
      <c r="E41" s="64"/>
    </row>
    <row r="42" customFormat="false" ht="12.8" hidden="false" customHeight="false" outlineLevel="0" collapsed="false">
      <c r="B42" s="64"/>
      <c r="D42" s="64"/>
      <c r="E42" s="64"/>
    </row>
    <row r="43" customFormat="false" ht="12.8" hidden="false" customHeight="false" outlineLevel="0" collapsed="false">
      <c r="B43" s="64"/>
      <c r="D43" s="64"/>
      <c r="E43" s="64"/>
    </row>
    <row r="44" customFormat="false" ht="12.8" hidden="false" customHeight="false" outlineLevel="0" collapsed="false">
      <c r="B44" s="64"/>
      <c r="D44" s="64"/>
      <c r="E44" s="64"/>
    </row>
    <row r="45" customFormat="false" ht="12.8" hidden="false" customHeight="false" outlineLevel="0" collapsed="false">
      <c r="B45" s="64"/>
      <c r="D45" s="64"/>
      <c r="E45" s="64"/>
    </row>
    <row r="46" customFormat="false" ht="12.8" hidden="false" customHeight="false" outlineLevel="0" collapsed="false">
      <c r="B46" s="64"/>
      <c r="D46" s="64"/>
      <c r="E46" s="64"/>
    </row>
    <row r="47" customFormat="false" ht="12.8" hidden="false" customHeight="false" outlineLevel="0" collapsed="false">
      <c r="B47" s="64"/>
      <c r="D47" s="64"/>
      <c r="E47" s="64"/>
    </row>
    <row r="48" customFormat="false" ht="12.8" hidden="false" customHeight="false" outlineLevel="0" collapsed="false">
      <c r="B48" s="64"/>
      <c r="D48" s="64"/>
      <c r="E48" s="64"/>
    </row>
    <row r="49" customFormat="false" ht="12.8" hidden="false" customHeight="false" outlineLevel="0" collapsed="false">
      <c r="B49" s="64"/>
      <c r="D49" s="64"/>
      <c r="E49" s="64"/>
    </row>
    <row r="50" customFormat="false" ht="12.8" hidden="false" customHeight="false" outlineLevel="0" collapsed="false">
      <c r="B50" s="64"/>
      <c r="D50" s="64"/>
      <c r="E50" s="64"/>
    </row>
    <row r="51" customFormat="false" ht="12.8" hidden="false" customHeight="false" outlineLevel="0" collapsed="false">
      <c r="B51" s="64"/>
      <c r="D51" s="64"/>
      <c r="E51" s="64"/>
    </row>
    <row r="52" customFormat="false" ht="12.8" hidden="false" customHeight="false" outlineLevel="0" collapsed="false">
      <c r="B52" s="64"/>
      <c r="D52" s="64"/>
    </row>
    <row r="53" customFormat="false" ht="12.8" hidden="false" customHeight="false" outlineLevel="0" collapsed="false">
      <c r="B53" s="64"/>
      <c r="D53" s="64"/>
    </row>
    <row r="54" customFormat="false" ht="12.8" hidden="false" customHeight="false" outlineLevel="0" collapsed="false">
      <c r="B54" s="64"/>
      <c r="D54" s="64"/>
    </row>
  </sheetData>
  <mergeCells count="8">
    <mergeCell ref="A4:D4"/>
    <mergeCell ref="F4:I4"/>
    <mergeCell ref="B5:B6"/>
    <mergeCell ref="C5:C6"/>
    <mergeCell ref="D5:D6"/>
    <mergeCell ref="F10:I10"/>
    <mergeCell ref="A11:D11"/>
    <mergeCell ref="F24:I24"/>
  </mergeCells>
  <hyperlinks>
    <hyperlink ref="A1" location="Опис" display="Назад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65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I10" activeCellId="0" sqref="I10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6.72"/>
    <col collapsed="false" customWidth="false" hidden="false" outlineLevel="0" max="4" min="2" style="63" width="11.54"/>
    <col collapsed="false" customWidth="true" hidden="false" outlineLevel="0" max="5" min="5" style="0" width="9.63"/>
    <col collapsed="false" customWidth="true" hidden="false" outlineLevel="0" max="6" min="6" style="63" width="11.52"/>
    <col collapsed="false" customWidth="true" hidden="false" outlineLevel="0" max="7" min="7" style="1" width="10.19"/>
    <col collapsed="false" customWidth="true" hidden="false" outlineLevel="0" max="8" min="8" style="0" width="6.81"/>
    <col collapsed="false" customWidth="true" hidden="false" outlineLevel="0" max="9" min="9" style="0" width="26.03"/>
    <col collapsed="false" customWidth="true" hidden="false" outlineLevel="0" max="10" min="10" style="0" width="7.68"/>
    <col collapsed="false" customWidth="true" hidden="false" outlineLevel="0" max="11" min="11" style="1" width="7.68"/>
    <col collapsed="false" customWidth="true" hidden="false" outlineLevel="0" max="12" min="12" style="1" width="10.19"/>
    <col collapsed="false" customWidth="true" hidden="false" outlineLevel="0" max="13" min="13" style="1" width="11.52"/>
    <col collapsed="false" customWidth="false" hidden="false" outlineLevel="0" max="1023" min="14" style="30" width="11.59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2" t="s">
        <v>21</v>
      </c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2.8" hidden="false" customHeight="false" outlineLevel="0" collapsed="false">
      <c r="A2" s="0" t="s">
        <v>145</v>
      </c>
      <c r="B2" s="63" t="s">
        <v>146</v>
      </c>
      <c r="C2" s="83" t="n">
        <v>2021</v>
      </c>
      <c r="D2" s="62" t="n">
        <v>2020</v>
      </c>
      <c r="E2" s="1" t="s">
        <v>147</v>
      </c>
      <c r="F2" s="52" t="n">
        <v>2019</v>
      </c>
      <c r="G2" s="1" t="s">
        <v>147</v>
      </c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2.8" hidden="false" customHeight="false" outlineLevel="0" collapsed="false">
      <c r="A3" s="84" t="s">
        <v>31</v>
      </c>
      <c r="B3" s="84"/>
      <c r="C3" s="84"/>
      <c r="D3" s="84"/>
      <c r="E3" s="84"/>
      <c r="F3" s="84"/>
      <c r="G3" s="84"/>
      <c r="I3" s="85" t="s">
        <v>148</v>
      </c>
      <c r="J3" s="85"/>
      <c r="K3" s="18" t="s">
        <v>149</v>
      </c>
      <c r="L3" s="18" t="s">
        <v>150</v>
      </c>
      <c r="M3" s="86" t="s">
        <v>151</v>
      </c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2.8" hidden="false" customHeight="false" outlineLevel="0" collapsed="false">
      <c r="A4" s="0" t="s">
        <v>152</v>
      </c>
      <c r="B4" s="63" t="str">
        <f aca="false">IF(C4&gt;0,"+","-")</f>
        <v>-</v>
      </c>
      <c r="C4" s="87"/>
      <c r="D4" s="24"/>
      <c r="E4" s="88" t="e">
        <f aca="false">(+C4/D4)</f>
        <v>#DIV/0!</v>
      </c>
      <c r="F4" s="24"/>
      <c r="G4" s="88" t="e">
        <f aca="false">(+D4/F4)-1</f>
        <v>#DIV/0!</v>
      </c>
      <c r="I4" s="89"/>
      <c r="J4" s="89"/>
      <c r="K4" s="44"/>
      <c r="L4" s="44"/>
      <c r="M4" s="9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2.8" hidden="false" customHeight="false" outlineLevel="0" collapsed="false">
      <c r="A5" s="91"/>
      <c r="B5" s="92"/>
      <c r="C5" s="92"/>
      <c r="D5" s="92"/>
      <c r="E5" s="93"/>
      <c r="F5" s="92"/>
      <c r="G5" s="93"/>
      <c r="I5" s="89"/>
      <c r="J5" s="89"/>
      <c r="K5" s="44"/>
      <c r="L5" s="44"/>
      <c r="M5" s="9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false" outlineLevel="0" collapsed="false">
      <c r="A6" s="0" t="s">
        <v>153</v>
      </c>
      <c r="B6" s="63" t="str">
        <f aca="false">IF(C6&gt;0,"+","-")</f>
        <v>-</v>
      </c>
      <c r="C6" s="24"/>
      <c r="D6" s="24"/>
      <c r="E6" s="88" t="e">
        <f aca="false">(+C6/D6)</f>
        <v>#DIV/0!</v>
      </c>
      <c r="F6" s="24"/>
      <c r="G6" s="88" t="e">
        <f aca="false">(+D6/F6)-1</f>
        <v>#DIV/0!</v>
      </c>
      <c r="I6" s="89"/>
      <c r="J6" s="89"/>
      <c r="K6" s="44"/>
      <c r="L6" s="44"/>
      <c r="M6" s="9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8" hidden="false" customHeight="false" outlineLevel="0" collapsed="false">
      <c r="A7" s="0" t="s">
        <v>154</v>
      </c>
      <c r="B7" s="63" t="str">
        <f aca="false">IF(C7&gt;0,"+","-")</f>
        <v>-</v>
      </c>
      <c r="C7" s="24"/>
      <c r="D7" s="24"/>
      <c r="E7" s="88" t="e">
        <f aca="false">(+C7/D7)</f>
        <v>#DIV/0!</v>
      </c>
      <c r="F7" s="24"/>
      <c r="G7" s="88" t="e">
        <f aca="false">(+D7/F7)-1</f>
        <v>#DIV/0!</v>
      </c>
      <c r="I7" s="89"/>
      <c r="J7" s="89"/>
      <c r="K7" s="44"/>
      <c r="L7" s="44"/>
      <c r="M7" s="9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8" hidden="false" customHeight="false" outlineLevel="0" collapsed="false">
      <c r="A8" s="0" t="s">
        <v>155</v>
      </c>
      <c r="B8" s="63" t="str">
        <f aca="false">IF(C8&gt;0,"+","-")</f>
        <v>-</v>
      </c>
      <c r="C8" s="24"/>
      <c r="D8" s="24"/>
      <c r="E8" s="88" t="e">
        <f aca="false">(+C8/D8)</f>
        <v>#DIV/0!</v>
      </c>
      <c r="F8" s="24"/>
      <c r="G8" s="88" t="e">
        <f aca="false">(+D8/F8)-1</f>
        <v>#DIV/0!</v>
      </c>
      <c r="I8" s="89"/>
      <c r="J8" s="89"/>
      <c r="K8" s="44"/>
      <c r="L8" s="44"/>
      <c r="M8" s="9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false" outlineLevel="0" collapsed="false">
      <c r="A9" s="0" t="s">
        <v>156</v>
      </c>
      <c r="B9" s="63" t="str">
        <f aca="false">IF(C9&gt;0,"+","-")</f>
        <v>-</v>
      </c>
      <c r="C9" s="24"/>
      <c r="D9" s="24"/>
      <c r="E9" s="88" t="e">
        <f aca="false">(+C9/D9)</f>
        <v>#DIV/0!</v>
      </c>
      <c r="F9" s="24"/>
      <c r="G9" s="88" t="e">
        <f aca="false">(+D9/F9)-1</f>
        <v>#DIV/0!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false" outlineLevel="0" collapsed="false">
      <c r="A10" s="94" t="s">
        <v>157</v>
      </c>
      <c r="B10" s="63" t="str">
        <f aca="false">IF(C10&gt;0,"+","-")</f>
        <v>-</v>
      </c>
      <c r="C10" s="24"/>
      <c r="D10" s="24"/>
      <c r="E10" s="88" t="e">
        <f aca="false">(+C10/D10)</f>
        <v>#DIV/0!</v>
      </c>
      <c r="F10" s="24"/>
      <c r="G10" s="88" t="e">
        <f aca="false">(+D10/F10)-1</f>
        <v>#DIV/0!</v>
      </c>
      <c r="K10" s="0"/>
      <c r="L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8" hidden="false" customHeight="false" outlineLevel="0" collapsed="false">
      <c r="A11" s="0" t="s">
        <v>158</v>
      </c>
      <c r="B11" s="63" t="str">
        <f aca="false">IF(C11&gt;0,"+","-")</f>
        <v>-</v>
      </c>
      <c r="C11" s="24"/>
      <c r="D11" s="24"/>
      <c r="E11" s="88" t="e">
        <f aca="false">(+C11/D11)</f>
        <v>#DIV/0!</v>
      </c>
      <c r="F11" s="24"/>
      <c r="G11" s="88" t="e">
        <f aca="false">(+D11/F11)-1</f>
        <v>#DIV/0!</v>
      </c>
      <c r="K11" s="0"/>
      <c r="L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8" hidden="false" customHeight="false" outlineLevel="0" collapsed="false">
      <c r="A12" s="0" t="s">
        <v>159</v>
      </c>
      <c r="B12" s="63" t="str">
        <f aca="false">IF(C12&gt;0,"+","-")</f>
        <v>-</v>
      </c>
      <c r="C12" s="24"/>
      <c r="D12" s="24"/>
      <c r="E12" s="88" t="e">
        <f aca="false">(+C12/D12)</f>
        <v>#DIV/0!</v>
      </c>
      <c r="F12" s="24"/>
      <c r="G12" s="88" t="e">
        <f aca="false">(+D12/F12)-1</f>
        <v>#DIV/0!</v>
      </c>
      <c r="K12" s="0"/>
      <c r="L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8" hidden="false" customHeight="false" outlineLevel="0" collapsed="false">
      <c r="A13" s="0" t="s">
        <v>160</v>
      </c>
      <c r="C13" s="24"/>
      <c r="D13" s="24"/>
      <c r="E13" s="88" t="e">
        <f aca="false">(+C13/D13)</f>
        <v>#DIV/0!</v>
      </c>
      <c r="F13" s="24"/>
      <c r="G13" s="88" t="e">
        <f aca="false">(+D13/F13)-1</f>
        <v>#DIV/0!</v>
      </c>
      <c r="K13" s="0"/>
      <c r="L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8" hidden="false" customHeight="false" outlineLevel="0" collapsed="false">
      <c r="A14" s="95"/>
      <c r="B14" s="96"/>
      <c r="C14" s="96"/>
      <c r="D14" s="96"/>
      <c r="E14" s="97"/>
      <c r="F14" s="96"/>
      <c r="G14" s="97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2.8" hidden="false" customHeight="false" outlineLevel="0" collapsed="false">
      <c r="A15" s="0" t="s">
        <v>161</v>
      </c>
      <c r="B15" s="63" t="str">
        <f aca="false">IF(C15&gt;0,"+","-")</f>
        <v>-</v>
      </c>
      <c r="C15" s="24"/>
      <c r="D15" s="24"/>
      <c r="E15" s="88" t="e">
        <f aca="false">(+C15/D15)</f>
        <v>#DIV/0!</v>
      </c>
      <c r="F15" s="24"/>
      <c r="G15" s="88" t="e">
        <f aca="false">(+D15/F15)-1</f>
        <v>#DIV/0!</v>
      </c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2.8" hidden="false" customHeight="false" outlineLevel="0" collapsed="false">
      <c r="A16" s="0" t="s">
        <v>162</v>
      </c>
      <c r="B16" s="63" t="str">
        <f aca="false">IF(C16&gt;0,"+","-")</f>
        <v>-</v>
      </c>
      <c r="C16" s="24"/>
      <c r="D16" s="24"/>
      <c r="E16" s="88" t="e">
        <f aca="false">(+C16/D16)</f>
        <v>#DIV/0!</v>
      </c>
      <c r="F16" s="24"/>
      <c r="G16" s="88" t="e">
        <f aca="false">(+D16/F16)-1</f>
        <v>#DIV/0!</v>
      </c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2.8" hidden="false" customHeight="false" outlineLevel="0" collapsed="false">
      <c r="A17" s="0" t="s">
        <v>163</v>
      </c>
      <c r="B17" s="63" t="str">
        <f aca="false">IF(C17&gt;0,"+","-")</f>
        <v>-</v>
      </c>
      <c r="C17" s="24"/>
      <c r="D17" s="24"/>
      <c r="E17" s="88" t="e">
        <f aca="false">(+C17/D17)</f>
        <v>#DIV/0!</v>
      </c>
      <c r="F17" s="24"/>
      <c r="G17" s="88" t="e">
        <f aca="false">(+D17/F17)-1</f>
        <v>#DIV/0!</v>
      </c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2.8" hidden="false" customHeight="false" outlineLevel="0" collapsed="false">
      <c r="A18" s="98"/>
      <c r="B18" s="99"/>
      <c r="C18" s="99"/>
      <c r="D18" s="99"/>
      <c r="E18" s="100"/>
      <c r="F18" s="99"/>
      <c r="G18" s="10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2.8" hidden="false" customHeight="false" outlineLevel="0" collapsed="false">
      <c r="A19" s="0" t="s">
        <v>164</v>
      </c>
      <c r="B19" s="63" t="str">
        <f aca="false">IF(C19&gt;0,"+","-")</f>
        <v>-</v>
      </c>
      <c r="C19" s="24"/>
      <c r="D19" s="24"/>
      <c r="E19" s="88" t="e">
        <f aca="false">(+C19/D19)</f>
        <v>#DIV/0!</v>
      </c>
      <c r="F19" s="24"/>
      <c r="G19" s="88" t="e">
        <f aca="false">(+D19/F19)-1</f>
        <v>#DIV/0!</v>
      </c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2.8" hidden="false" customHeight="false" outlineLevel="0" collapsed="false">
      <c r="A20" s="0" t="s">
        <v>165</v>
      </c>
      <c r="B20" s="63" t="str">
        <f aca="false">IF(C20&gt;0,"+","-")</f>
        <v>-</v>
      </c>
      <c r="C20" s="24"/>
      <c r="D20" s="24"/>
      <c r="E20" s="88" t="e">
        <f aca="false">(+C20/D20)</f>
        <v>#DIV/0!</v>
      </c>
      <c r="F20" s="24"/>
      <c r="G20" s="88" t="e">
        <f aca="false">(+D20/F20)-1</f>
        <v>#DIV/0!</v>
      </c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2.8" hidden="false" customHeight="false" outlineLevel="0" collapsed="false">
      <c r="A21" s="101" t="s">
        <v>166</v>
      </c>
      <c r="B21" s="102" t="n">
        <f aca="false">SUM(C4:C20)</f>
        <v>0</v>
      </c>
      <c r="C21" s="102"/>
      <c r="D21" s="27" t="n">
        <f aca="false">SUM(D4:D20)</f>
        <v>0</v>
      </c>
      <c r="E21" s="103" t="e">
        <f aca="false">(+C21/D21)-1</f>
        <v>#DIV/0!</v>
      </c>
      <c r="F21" s="27" t="n">
        <f aca="false">SUM(F4:F20)</f>
        <v>0</v>
      </c>
      <c r="G21" s="103" t="e">
        <f aca="false">(+D21/F21)-1</f>
        <v>#DIV/0!</v>
      </c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2.8" hidden="false" customHeight="false" outlineLevel="0" collapsed="false">
      <c r="A22" s="104" t="s">
        <v>167</v>
      </c>
      <c r="B22" s="104"/>
      <c r="C22" s="104"/>
      <c r="D22" s="104"/>
      <c r="E22" s="104"/>
      <c r="F22" s="104"/>
      <c r="G22" s="104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2.8" hidden="false" customHeight="false" outlineLevel="0" collapsed="false">
      <c r="A23" s="105"/>
      <c r="B23" s="106"/>
      <c r="C23" s="107"/>
      <c r="D23" s="107"/>
      <c r="E23" s="108"/>
      <c r="F23" s="107"/>
      <c r="G23" s="108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2.8" hidden="false" customHeight="false" outlineLevel="0" collapsed="false">
      <c r="A24" s="0" t="s">
        <v>101</v>
      </c>
      <c r="B24" s="63" t="str">
        <f aca="false">IF(C24&gt;0,"+","-")</f>
        <v>-</v>
      </c>
      <c r="C24" s="24"/>
      <c r="D24" s="24"/>
      <c r="E24" s="88" t="e">
        <f aca="false">(+C24/D24)</f>
        <v>#DIV/0!</v>
      </c>
      <c r="F24" s="24"/>
      <c r="G24" s="88" t="e">
        <f aca="false">(+D24/F24)-1</f>
        <v>#DIV/0!</v>
      </c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2.8" hidden="false" customHeight="false" outlineLevel="0" collapsed="false">
      <c r="A25" s="0" t="s">
        <v>168</v>
      </c>
      <c r="B25" s="63" t="str">
        <f aca="false">IF(C25&gt;0,"+","-")</f>
        <v>-</v>
      </c>
      <c r="C25" s="24"/>
      <c r="D25" s="24"/>
      <c r="E25" s="88" t="e">
        <f aca="false">(+C25/D25)</f>
        <v>#DIV/0!</v>
      </c>
      <c r="F25" s="24"/>
      <c r="G25" s="88" t="e">
        <f aca="false">(+D25/F25)-1</f>
        <v>#DIV/0!</v>
      </c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2.8" hidden="false" customHeight="false" outlineLevel="0" collapsed="false">
      <c r="A26" s="0" t="s">
        <v>169</v>
      </c>
      <c r="B26" s="63" t="str">
        <f aca="false">IF(C26&gt;0,"+","-")</f>
        <v>-</v>
      </c>
      <c r="C26" s="24"/>
      <c r="D26" s="24"/>
      <c r="E26" s="88" t="e">
        <f aca="false">(+C26/D26)</f>
        <v>#DIV/0!</v>
      </c>
      <c r="F26" s="24"/>
      <c r="G26" s="88" t="e">
        <f aca="false">(+D26/F26)-1</f>
        <v>#DIV/0!</v>
      </c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2.8" hidden="false" customHeight="false" outlineLevel="0" collapsed="false">
      <c r="A27" s="0" t="s">
        <v>170</v>
      </c>
      <c r="B27" s="63" t="str">
        <f aca="false">IF(C27&gt;0,"+","-")</f>
        <v>-</v>
      </c>
      <c r="C27" s="24"/>
      <c r="D27" s="24"/>
      <c r="E27" s="88" t="e">
        <f aca="false">(+C27/D27)</f>
        <v>#DIV/0!</v>
      </c>
      <c r="F27" s="24"/>
      <c r="G27" s="88" t="e">
        <f aca="false">(+D27/F27)-1</f>
        <v>#DIV/0!</v>
      </c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2.8" hidden="false" customHeight="false" outlineLevel="0" collapsed="false">
      <c r="A28" s="0" t="s">
        <v>171</v>
      </c>
      <c r="B28" s="63" t="str">
        <f aca="false">IF(C28&gt;0,"+","-")</f>
        <v>-</v>
      </c>
      <c r="C28" s="24"/>
      <c r="D28" s="24"/>
      <c r="E28" s="88" t="e">
        <f aca="false">(+C28/D28)</f>
        <v>#DIV/0!</v>
      </c>
      <c r="F28" s="24"/>
      <c r="G28" s="88" t="e">
        <f aca="false">(+D28/F28)-1</f>
        <v>#DIV/0!</v>
      </c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2.8" hidden="false" customHeight="false" outlineLevel="0" collapsed="false">
      <c r="A29" s="0" t="s">
        <v>172</v>
      </c>
      <c r="B29" s="63" t="str">
        <f aca="false">IF(C29&gt;0,"+","-")</f>
        <v>-</v>
      </c>
      <c r="C29" s="24"/>
      <c r="D29" s="24"/>
      <c r="E29" s="88" t="e">
        <f aca="false">(+C29/D29)</f>
        <v>#DIV/0!</v>
      </c>
      <c r="F29" s="24"/>
      <c r="G29" s="88" t="e">
        <f aca="false">(+D29/F29)-1</f>
        <v>#DIV/0!</v>
      </c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customFormat="false" ht="12.8" hidden="false" customHeight="false" outlineLevel="0" collapsed="false">
      <c r="A30" s="0" t="s">
        <v>173</v>
      </c>
      <c r="B30" s="63" t="str">
        <f aca="false">IF(C30&gt;0,"+","-")</f>
        <v>-</v>
      </c>
      <c r="C30" s="24"/>
      <c r="D30" s="24"/>
      <c r="E30" s="88" t="e">
        <f aca="false">(+C30/D30)</f>
        <v>#DIV/0!</v>
      </c>
      <c r="F30" s="24"/>
      <c r="G30" s="88" t="e">
        <f aca="false">(+D30/F30)-1</f>
        <v>#DIV/0!</v>
      </c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customFormat="false" ht="12.8" hidden="false" customHeight="false" outlineLevel="0" collapsed="false">
      <c r="A31" s="0" t="s">
        <v>174</v>
      </c>
      <c r="B31" s="63" t="str">
        <f aca="false">IF(C31&gt;0,"+","-")</f>
        <v>-</v>
      </c>
      <c r="C31" s="24"/>
      <c r="D31" s="24"/>
      <c r="E31" s="88" t="e">
        <f aca="false">(+C31/D31)</f>
        <v>#DIV/0!</v>
      </c>
      <c r="F31" s="24"/>
      <c r="G31" s="88" t="e">
        <f aca="false">(+D31/F31)-1</f>
        <v>#DIV/0!</v>
      </c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2.8" hidden="false" customHeight="false" outlineLevel="0" collapsed="false">
      <c r="A32" s="0" t="s">
        <v>105</v>
      </c>
      <c r="B32" s="63" t="str">
        <f aca="false">IF(C32&gt;0,"+","-")</f>
        <v>-</v>
      </c>
      <c r="C32" s="24"/>
      <c r="D32" s="24"/>
      <c r="E32" s="88" t="e">
        <f aca="false">(+C32/D32)</f>
        <v>#DIV/0!</v>
      </c>
      <c r="F32" s="24"/>
      <c r="G32" s="88" t="e">
        <f aca="false">(+D32/F32)-1</f>
        <v>#DIV/0!</v>
      </c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2.8" hidden="false" customHeight="false" outlineLevel="0" collapsed="false">
      <c r="A33" s="0" t="s">
        <v>113</v>
      </c>
      <c r="B33" s="63" t="str">
        <f aca="false">IF(C33&gt;0,"+","-")</f>
        <v>-</v>
      </c>
      <c r="C33" s="24"/>
      <c r="D33" s="24"/>
      <c r="E33" s="88" t="e">
        <f aca="false">(+C33/D33)</f>
        <v>#DIV/0!</v>
      </c>
      <c r="F33" s="24"/>
      <c r="G33" s="88" t="e">
        <f aca="false">(+D33/F33)-1</f>
        <v>#DIV/0!</v>
      </c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12.8" hidden="false" customHeight="false" outlineLevel="0" collapsed="false">
      <c r="A34" s="0" t="s">
        <v>175</v>
      </c>
      <c r="B34" s="63" t="str">
        <f aca="false">IF(C34&gt;0,"+","-")</f>
        <v>-</v>
      </c>
      <c r="C34" s="24"/>
      <c r="D34" s="24"/>
      <c r="E34" s="88" t="e">
        <f aca="false">(+C34/D34)</f>
        <v>#DIV/0!</v>
      </c>
      <c r="F34" s="24"/>
      <c r="G34" s="88" t="e">
        <f aca="false">(+D34/F34)-1</f>
        <v>#DIV/0!</v>
      </c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12.8" hidden="false" customHeight="false" outlineLevel="0" collapsed="false">
      <c r="A35" s="109"/>
      <c r="B35" s="110"/>
      <c r="C35" s="111"/>
      <c r="D35" s="111"/>
      <c r="E35" s="112"/>
      <c r="F35" s="111"/>
      <c r="G35" s="112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customFormat="false" ht="12.8" hidden="false" customHeight="false" outlineLevel="0" collapsed="false">
      <c r="A36" s="0" t="s">
        <v>98</v>
      </c>
      <c r="B36" s="63" t="str">
        <f aca="false">IF(C36&gt;0,"+","-")</f>
        <v>-</v>
      </c>
      <c r="C36" s="24"/>
      <c r="D36" s="24"/>
      <c r="E36" s="88" t="e">
        <f aca="false">(+C36/D36)</f>
        <v>#DIV/0!</v>
      </c>
      <c r="F36" s="24"/>
      <c r="G36" s="88" t="e">
        <f aca="false">(+D36/F36)-1</f>
        <v>#DIV/0!</v>
      </c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</row>
    <row r="37" customFormat="false" ht="12.8" hidden="false" customHeight="false" outlineLevel="0" collapsed="false">
      <c r="A37" s="0" t="s">
        <v>176</v>
      </c>
      <c r="B37" s="63" t="str">
        <f aca="false">IF(C37&gt;0,"+","-")</f>
        <v>-</v>
      </c>
      <c r="C37" s="24"/>
      <c r="D37" s="24"/>
      <c r="E37" s="88" t="e">
        <f aca="false">(+C37/D37)</f>
        <v>#DIV/0!</v>
      </c>
      <c r="F37" s="24"/>
      <c r="G37" s="88" t="e">
        <f aca="false">(+D37/F37)-1</f>
        <v>#DIV/0!</v>
      </c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</row>
    <row r="38" customFormat="false" ht="12.8" hidden="false" customHeight="false" outlineLevel="0" collapsed="false">
      <c r="A38" s="0" t="s">
        <v>102</v>
      </c>
      <c r="B38" s="63" t="str">
        <f aca="false">IF(C38&gt;0,"+","-")</f>
        <v>-</v>
      </c>
      <c r="C38" s="24"/>
      <c r="D38" s="24"/>
      <c r="E38" s="88" t="e">
        <f aca="false">(+C38/D38)</f>
        <v>#DIV/0!</v>
      </c>
      <c r="F38" s="24"/>
      <c r="G38" s="88" t="e">
        <f aca="false">(+D38/F38)-1</f>
        <v>#DIV/0!</v>
      </c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</row>
    <row r="39" customFormat="false" ht="12.8" hidden="false" customHeight="false" outlineLevel="0" collapsed="false">
      <c r="A39" s="0" t="s">
        <v>177</v>
      </c>
      <c r="B39" s="63" t="str">
        <f aca="false">IF(C39&gt;0,"+","-")</f>
        <v>-</v>
      </c>
      <c r="C39" s="24"/>
      <c r="D39" s="24"/>
      <c r="E39" s="88" t="e">
        <f aca="false">(+C39/D39)</f>
        <v>#DIV/0!</v>
      </c>
      <c r="F39" s="24"/>
      <c r="G39" s="88" t="e">
        <f aca="false">(+D39/F39)-1</f>
        <v>#DIV/0!</v>
      </c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</row>
    <row r="40" customFormat="false" ht="12.8" hidden="false" customHeight="false" outlineLevel="0" collapsed="false">
      <c r="A40" s="0" t="s">
        <v>178</v>
      </c>
      <c r="B40" s="63" t="str">
        <f aca="false">IF(C40&gt;0,"+","-")</f>
        <v>-</v>
      </c>
      <c r="C40" s="24"/>
      <c r="D40" s="24"/>
      <c r="E40" s="88" t="e">
        <f aca="false">(+C40/D40)</f>
        <v>#DIV/0!</v>
      </c>
      <c r="F40" s="24"/>
      <c r="G40" s="88" t="e">
        <f aca="false">(+D40/F40)-1</f>
        <v>#DIV/0!</v>
      </c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</row>
    <row r="41" customFormat="false" ht="12.8" hidden="false" customHeight="false" outlineLevel="0" collapsed="false">
      <c r="A41" s="0" t="s">
        <v>179</v>
      </c>
      <c r="B41" s="63" t="str">
        <f aca="false">IF(C41&gt;0,"+","-")</f>
        <v>-</v>
      </c>
      <c r="C41" s="24"/>
      <c r="D41" s="24"/>
      <c r="E41" s="88" t="e">
        <f aca="false">(+C41/D41)</f>
        <v>#DIV/0!</v>
      </c>
      <c r="F41" s="24"/>
      <c r="G41" s="88" t="e">
        <f aca="false">(+D41/F41)-1</f>
        <v>#DIV/0!</v>
      </c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</row>
    <row r="42" customFormat="false" ht="12.8" hidden="false" customHeight="false" outlineLevel="0" collapsed="false">
      <c r="A42" s="101" t="s">
        <v>166</v>
      </c>
      <c r="B42" s="102" t="n">
        <f aca="false">SUM(C24:C41)</f>
        <v>0</v>
      </c>
      <c r="C42" s="102"/>
      <c r="D42" s="27" t="n">
        <f aca="false">SUM(D24:D41)</f>
        <v>0</v>
      </c>
      <c r="E42" s="103" t="e">
        <f aca="false">(+C42/D42)-1</f>
        <v>#DIV/0!</v>
      </c>
      <c r="F42" s="27" t="n">
        <f aca="false">SUM(F24:F41)</f>
        <v>0</v>
      </c>
      <c r="G42" s="103" t="e">
        <f aca="false">(+D42/F42)-1</f>
        <v>#DIV/0!</v>
      </c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</row>
    <row r="43" customFormat="false" ht="12.8" hidden="false" customHeight="false" outlineLevel="0" collapsed="false">
      <c r="A43" s="34" t="s">
        <v>180</v>
      </c>
      <c r="B43" s="34"/>
      <c r="C43" s="34"/>
      <c r="D43" s="34"/>
      <c r="E43" s="34"/>
      <c r="F43" s="34"/>
      <c r="G43" s="34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</row>
    <row r="44" customFormat="false" ht="12.8" hidden="false" customHeight="false" outlineLevel="0" collapsed="false">
      <c r="A44" s="0" t="s">
        <v>181</v>
      </c>
      <c r="B44" s="63" t="str">
        <f aca="false">IF(C44&gt;0,"+","-")</f>
        <v>-</v>
      </c>
      <c r="C44" s="24"/>
      <c r="D44" s="24"/>
      <c r="E44" s="88" t="e">
        <f aca="false">(+C44/D44)</f>
        <v>#DIV/0!</v>
      </c>
      <c r="F44" s="24"/>
      <c r="G44" s="88" t="e">
        <f aca="false">(+D44/F44)-1</f>
        <v>#DIV/0!</v>
      </c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</row>
    <row r="45" customFormat="false" ht="12.8" hidden="false" customHeight="false" outlineLevel="0" collapsed="false">
      <c r="A45" s="0" t="s">
        <v>182</v>
      </c>
      <c r="B45" s="63" t="str">
        <f aca="false">IF(C45&gt;0,"+","-")</f>
        <v>-</v>
      </c>
      <c r="C45" s="24"/>
      <c r="D45" s="24"/>
      <c r="E45" s="88" t="e">
        <f aca="false">(+C45/D45)</f>
        <v>#DIV/0!</v>
      </c>
      <c r="F45" s="24"/>
      <c r="G45" s="88" t="e">
        <f aca="false">(+D45/F45)-1</f>
        <v>#DIV/0!</v>
      </c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</row>
    <row r="46" customFormat="false" ht="12.8" hidden="false" customHeight="false" outlineLevel="0" collapsed="false">
      <c r="A46" s="0" t="s">
        <v>183</v>
      </c>
      <c r="B46" s="63" t="str">
        <f aca="false">IF(C46&gt;0,"+","-")</f>
        <v>-</v>
      </c>
      <c r="C46" s="24"/>
      <c r="D46" s="24"/>
      <c r="E46" s="88" t="e">
        <f aca="false">(+C46/D46)</f>
        <v>#DIV/0!</v>
      </c>
      <c r="F46" s="22"/>
      <c r="G46" s="88" t="e">
        <f aca="false">(+D46/F46)-1</f>
        <v>#DIV/0!</v>
      </c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</row>
    <row r="47" customFormat="false" ht="12.8" hidden="false" customHeight="false" outlineLevel="0" collapsed="false">
      <c r="A47" s="0" t="s">
        <v>184</v>
      </c>
      <c r="B47" s="63" t="str">
        <f aca="false">IF(C47&gt;0,"+","-")</f>
        <v>-</v>
      </c>
      <c r="C47" s="24"/>
      <c r="D47" s="24"/>
      <c r="E47" s="88" t="e">
        <f aca="false">(+C47/D47)</f>
        <v>#DIV/0!</v>
      </c>
      <c r="F47" s="24"/>
      <c r="G47" s="88" t="e">
        <f aca="false">(+D47/F47)-1</f>
        <v>#DIV/0!</v>
      </c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</row>
    <row r="48" customFormat="false" ht="12.8" hidden="false" customHeight="false" outlineLevel="0" collapsed="false">
      <c r="A48" s="0" t="s">
        <v>185</v>
      </c>
      <c r="B48" s="63" t="str">
        <f aca="false">IF(C48&gt;0,"+","-")</f>
        <v>-</v>
      </c>
      <c r="C48" s="24"/>
      <c r="D48" s="24"/>
      <c r="E48" s="88" t="e">
        <f aca="false">(+C48/D48)</f>
        <v>#DIV/0!</v>
      </c>
      <c r="F48" s="24"/>
      <c r="G48" s="88" t="e">
        <f aca="false">(+D48/F48)-1</f>
        <v>#DIV/0!</v>
      </c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</row>
    <row r="49" customFormat="false" ht="12.8" hidden="false" customHeight="false" outlineLevel="0" collapsed="false">
      <c r="A49" s="0" t="s">
        <v>186</v>
      </c>
      <c r="B49" s="63" t="str">
        <f aca="false">IF(C49&gt;0,"+","-")</f>
        <v>-</v>
      </c>
      <c r="C49" s="24"/>
      <c r="D49" s="24"/>
      <c r="E49" s="88" t="e">
        <f aca="false">(+C49/D49)</f>
        <v>#DIV/0!</v>
      </c>
      <c r="F49" s="24"/>
      <c r="G49" s="88" t="e">
        <f aca="false">(+D49/F49)-1</f>
        <v>#DIV/0!</v>
      </c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</row>
    <row r="50" customFormat="false" ht="12.8" hidden="false" customHeight="false" outlineLevel="0" collapsed="false">
      <c r="A50" s="101" t="s">
        <v>166</v>
      </c>
      <c r="B50" s="113" t="n">
        <f aca="false">SUM(C44:C49)</f>
        <v>0</v>
      </c>
      <c r="C50" s="113"/>
      <c r="D50" s="27" t="n">
        <f aca="false">SUM(D44:D49)</f>
        <v>0</v>
      </c>
      <c r="E50" s="103" t="e">
        <f aca="false">(+C50/D50)-1</f>
        <v>#DIV/0!</v>
      </c>
      <c r="F50" s="27" t="n">
        <f aca="false">SUM(F44:F49)</f>
        <v>0</v>
      </c>
      <c r="G50" s="103" t="e">
        <f aca="false">(+E50/F50)-1</f>
        <v>#DIV/0!</v>
      </c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</row>
    <row r="51" customFormat="false" ht="12.8" hidden="false" customHeight="false" outlineLevel="0" collapsed="false">
      <c r="A51" s="114" t="s">
        <v>187</v>
      </c>
      <c r="B51" s="114"/>
      <c r="C51" s="114"/>
      <c r="D51" s="114"/>
      <c r="E51" s="114"/>
      <c r="F51" s="114"/>
      <c r="G51" s="114"/>
      <c r="K51" s="0"/>
      <c r="L51" s="0"/>
      <c r="M51" s="0"/>
    </row>
    <row r="52" customFormat="false" ht="12.8" hidden="false" customHeight="false" outlineLevel="0" collapsed="false">
      <c r="A52" s="30" t="s">
        <v>188</v>
      </c>
      <c r="B52" s="63" t="str">
        <f aca="false">IF(C52&gt;0,"+","-")</f>
        <v>-</v>
      </c>
      <c r="C52" s="24"/>
      <c r="D52" s="24"/>
      <c r="E52" s="88" t="e">
        <f aca="false">(+C52/D52)</f>
        <v>#DIV/0!</v>
      </c>
      <c r="F52" s="24"/>
      <c r="G52" s="88" t="e">
        <f aca="false">(+D52/F52)-1</f>
        <v>#DIV/0!</v>
      </c>
    </row>
    <row r="53" customFormat="false" ht="12.8" hidden="false" customHeight="false" outlineLevel="0" collapsed="false">
      <c r="A53" s="30" t="s">
        <v>189</v>
      </c>
      <c r="B53" s="63" t="str">
        <f aca="false">IF(C53&gt;0,"+","-")</f>
        <v>-</v>
      </c>
      <c r="C53" s="24"/>
      <c r="D53" s="24"/>
      <c r="E53" s="88" t="e">
        <f aca="false">(+C53/D53)</f>
        <v>#DIV/0!</v>
      </c>
      <c r="F53" s="24"/>
      <c r="G53" s="88" t="e">
        <f aca="false">(+D53/F53)-1</f>
        <v>#DIV/0!</v>
      </c>
    </row>
    <row r="54" customFormat="false" ht="12.8" hidden="false" customHeight="false" outlineLevel="0" collapsed="false">
      <c r="A54" s="0" t="s">
        <v>190</v>
      </c>
      <c r="B54" s="63" t="str">
        <f aca="false">IF(C54&gt;0,"+","-")</f>
        <v>-</v>
      </c>
      <c r="C54" s="24"/>
      <c r="D54" s="24"/>
      <c r="E54" s="88" t="e">
        <f aca="false">(+C54/D54)</f>
        <v>#DIV/0!</v>
      </c>
      <c r="F54" s="24"/>
      <c r="G54" s="88" t="e">
        <f aca="false">(+D54/F54)-1</f>
        <v>#DIV/0!</v>
      </c>
    </row>
    <row r="55" customFormat="false" ht="19.4" hidden="false" customHeight="false" outlineLevel="0" collapsed="false">
      <c r="A55" s="115" t="s">
        <v>191</v>
      </c>
      <c r="B55" s="63" t="str">
        <f aca="false">IF(C55&gt;0,"+","-")</f>
        <v>-</v>
      </c>
      <c r="C55" s="24"/>
      <c r="D55" s="24"/>
      <c r="E55" s="88" t="e">
        <f aca="false">(+C55/D55)</f>
        <v>#DIV/0!</v>
      </c>
      <c r="F55" s="24"/>
      <c r="G55" s="88" t="e">
        <f aca="false">(+D55/F55)-1</f>
        <v>#DIV/0!</v>
      </c>
    </row>
    <row r="56" customFormat="false" ht="12.8" hidden="false" customHeight="false" outlineLevel="0" collapsed="false">
      <c r="A56" s="0" t="s">
        <v>192</v>
      </c>
      <c r="B56" s="63" t="str">
        <f aca="false">IF(C56&gt;0,"+","-")</f>
        <v>-</v>
      </c>
      <c r="C56" s="24"/>
      <c r="D56" s="24"/>
      <c r="E56" s="88" t="e">
        <f aca="false">(+C56/D56)</f>
        <v>#DIV/0!</v>
      </c>
      <c r="F56" s="24"/>
      <c r="G56" s="88" t="e">
        <f aca="false">(+D56/F56)-1</f>
        <v>#DIV/0!</v>
      </c>
    </row>
    <row r="57" customFormat="false" ht="12.8" hidden="false" customHeight="false" outlineLevel="0" collapsed="false">
      <c r="A57" s="0" t="s">
        <v>193</v>
      </c>
      <c r="B57" s="63" t="str">
        <f aca="false">IF(C57&gt;0,"+","-")</f>
        <v>-</v>
      </c>
      <c r="C57" s="24"/>
      <c r="D57" s="24"/>
      <c r="E57" s="88" t="e">
        <f aca="false">(+C57/D57)</f>
        <v>#DIV/0!</v>
      </c>
      <c r="F57" s="24"/>
      <c r="G57" s="88" t="e">
        <f aca="false">(+D57/F57)-1</f>
        <v>#DIV/0!</v>
      </c>
    </row>
    <row r="58" customFormat="false" ht="12.8" hidden="false" customHeight="false" outlineLevel="0" collapsed="false">
      <c r="A58" s="0" t="s">
        <v>194</v>
      </c>
      <c r="B58" s="63" t="str">
        <f aca="false">IF(C58&gt;0,"+","-")</f>
        <v>-</v>
      </c>
      <c r="C58" s="24"/>
      <c r="D58" s="24"/>
      <c r="E58" s="88" t="e">
        <f aca="false">(+C58/D58)</f>
        <v>#DIV/0!</v>
      </c>
      <c r="F58" s="24"/>
      <c r="G58" s="88" t="e">
        <f aca="false">(+D58/F58)-1</f>
        <v>#DIV/0!</v>
      </c>
    </row>
    <row r="59" customFormat="false" ht="12.8" hidden="false" customHeight="false" outlineLevel="0" collapsed="false">
      <c r="A59" s="0" t="s">
        <v>195</v>
      </c>
      <c r="B59" s="63" t="str">
        <f aca="false">IF(C59&gt;0,"+","-")</f>
        <v>-</v>
      </c>
      <c r="C59" s="24"/>
      <c r="D59" s="24"/>
      <c r="E59" s="88" t="e">
        <f aca="false">(+C59/D59)</f>
        <v>#DIV/0!</v>
      </c>
      <c r="F59" s="24"/>
      <c r="G59" s="88" t="e">
        <f aca="false">(+D59/F59)-1</f>
        <v>#DIV/0!</v>
      </c>
    </row>
    <row r="60" customFormat="false" ht="12.8" hidden="false" customHeight="false" outlineLevel="0" collapsed="false">
      <c r="A60" s="101" t="s">
        <v>166</v>
      </c>
      <c r="B60" s="113" t="n">
        <f aca="false">SUM(C52:C59)</f>
        <v>0</v>
      </c>
      <c r="C60" s="113"/>
      <c r="D60" s="27" t="n">
        <f aca="false">SUM(D52:D59)</f>
        <v>0</v>
      </c>
      <c r="E60" s="103" t="e">
        <f aca="false">(+C60/D60)-1</f>
        <v>#DIV/0!</v>
      </c>
      <c r="F60" s="27" t="n">
        <f aca="false">SUM(F52:F59)</f>
        <v>0</v>
      </c>
      <c r="G60" s="103" t="e">
        <f aca="false">(+E60/F60)-1</f>
        <v>#DIV/0!</v>
      </c>
    </row>
    <row r="61" customFormat="false" ht="12.8" hidden="false" customHeight="false" outlineLevel="0" collapsed="false">
      <c r="A61" s="116" t="s">
        <v>196</v>
      </c>
      <c r="B61" s="116"/>
      <c r="C61" s="116"/>
      <c r="D61" s="116"/>
      <c r="E61" s="116"/>
      <c r="F61" s="116"/>
      <c r="G61" s="116"/>
    </row>
    <row r="62" customFormat="false" ht="12.8" hidden="false" customHeight="false" outlineLevel="0" collapsed="false">
      <c r="A62" s="101" t="s">
        <v>197</v>
      </c>
      <c r="B62" s="117"/>
      <c r="C62" s="117"/>
      <c r="D62" s="27"/>
      <c r="E62" s="103" t="e">
        <f aca="false">(+C62/D62)-1</f>
        <v>#DIV/0!</v>
      </c>
      <c r="F62" s="27"/>
      <c r="G62" s="103" t="e">
        <f aca="false">(+E62/F62)-1</f>
        <v>#DIV/0!</v>
      </c>
    </row>
    <row r="63" customFormat="false" ht="12.8" hidden="false" customHeight="false" outlineLevel="0" collapsed="false">
      <c r="A63" s="101" t="s">
        <v>198</v>
      </c>
      <c r="B63" s="117" t="n">
        <f aca="false">+B21+B50+B60</f>
        <v>0</v>
      </c>
      <c r="C63" s="117"/>
      <c r="D63" s="27" t="n">
        <f aca="false">+D60+D50+D21</f>
        <v>0</v>
      </c>
      <c r="E63" s="103" t="e">
        <f aca="false">(+C63/D63)-1</f>
        <v>#DIV/0!</v>
      </c>
      <c r="F63" s="27" t="n">
        <f aca="false">+F60+F50+F21</f>
        <v>0</v>
      </c>
      <c r="G63" s="103" t="e">
        <f aca="false">(+E63/F63)-1</f>
        <v>#DIV/0!</v>
      </c>
    </row>
    <row r="64" customFormat="false" ht="12.8" hidden="false" customHeight="false" outlineLevel="0" collapsed="false">
      <c r="A64" s="101" t="s">
        <v>199</v>
      </c>
      <c r="B64" s="117" t="n">
        <f aca="false">+B62+B63</f>
        <v>0</v>
      </c>
      <c r="C64" s="117"/>
      <c r="D64" s="27" t="n">
        <f aca="false">+D62+D63</f>
        <v>0</v>
      </c>
      <c r="E64" s="103" t="e">
        <f aca="false">(+C64/D64)-1</f>
        <v>#DIV/0!</v>
      </c>
      <c r="F64" s="27" t="n">
        <f aca="false">+F62+F63</f>
        <v>0</v>
      </c>
      <c r="G64" s="103" t="e">
        <f aca="false">(+E64/F64)-1</f>
        <v>#DIV/0!</v>
      </c>
    </row>
    <row r="65" customFormat="false" ht="12.8" hidden="false" customHeight="false" outlineLevel="0" collapsed="false">
      <c r="A65" s="116"/>
      <c r="B65" s="116"/>
      <c r="C65" s="116"/>
      <c r="D65" s="116"/>
      <c r="E65" s="116"/>
      <c r="F65" s="116"/>
      <c r="G65" s="116"/>
    </row>
  </sheetData>
  <mergeCells count="19">
    <mergeCell ref="A3:G3"/>
    <mergeCell ref="I3:J3"/>
    <mergeCell ref="I4:J4"/>
    <mergeCell ref="I5:J5"/>
    <mergeCell ref="I6:J6"/>
    <mergeCell ref="I7:J7"/>
    <mergeCell ref="I8:J8"/>
    <mergeCell ref="B21:C21"/>
    <mergeCell ref="A22:G22"/>
    <mergeCell ref="B42:C42"/>
    <mergeCell ref="A43:G43"/>
    <mergeCell ref="B50:C50"/>
    <mergeCell ref="A51:G51"/>
    <mergeCell ref="B60:C60"/>
    <mergeCell ref="A61:G61"/>
    <mergeCell ref="B62:C62"/>
    <mergeCell ref="B63:C63"/>
    <mergeCell ref="B64:C64"/>
    <mergeCell ref="A65:G65"/>
  </mergeCells>
  <hyperlinks>
    <hyperlink ref="A1" location="Опис" display="Назад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2022-05-23T16:46:00Z</dcterms:created>
  <dc:creator/>
  <dc:description/>
  <dc:language>en-US</dc:language>
  <cp:lastModifiedBy/>
  <dcterms:modified xsi:type="dcterms:W3CDTF">2022-05-28T09:20:14Z</dcterms:modified>
  <cp:revision>29</cp:revision>
  <dc:subject/>
  <dc:title/>
</cp:coreProperties>
</file>