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пис" sheetId="1" state="visible" r:id="rId2"/>
    <sheet name="Готовински принос" sheetId="2" state="visible" r:id="rId3"/>
    <sheet name="Средства" sheetId="3" state="visible" r:id="rId4"/>
    <sheet name="Бонитет и насока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55" authorId="0">
      <text>
        <r>
          <rPr>
            <sz val="10"/>
            <color rgb="FF0000FF"/>
            <rFont val="Arial"/>
            <family val="2"/>
            <charset val="1"/>
          </rPr>
          <t xml:space="preserve">https://www.investopedia.com/terms/d/debtequityratio.asp
</t>
        </r>
      </text>
    </comment>
  </commentList>
</comments>
</file>

<file path=xl/sharedStrings.xml><?xml version="1.0" encoding="utf-8"?>
<sst xmlns="http://schemas.openxmlformats.org/spreadsheetml/2006/main" count="199" uniqueCount="177">
  <si>
    <t xml:space="preserve">Линкови</t>
  </si>
  <si>
    <t xml:space="preserve">Готвински принос</t>
  </si>
  <si>
    <t xml:space="preserve">Назив на АД</t>
  </si>
  <si>
    <t xml:space="preserve">Македонски Телеком АД Скоп.</t>
  </si>
  <si>
    <t xml:space="preserve">Основана</t>
  </si>
  <si>
    <t xml:space="preserve">Средства</t>
  </si>
  <si>
    <t xml:space="preserve">Тикер</t>
  </si>
  <si>
    <t xml:space="preserve">TEL</t>
  </si>
  <si>
    <t xml:space="preserve">Дејност</t>
  </si>
  <si>
    <t xml:space="preserve">(3) – Телекомуникации</t>
  </si>
  <si>
    <t xml:space="preserve">ред бр.</t>
  </si>
  <si>
    <t xml:space="preserve">Продукт</t>
  </si>
  <si>
    <t xml:space="preserve">Опис</t>
  </si>
  <si>
    <t xml:space="preserve">Субститут</t>
  </si>
  <si>
    <t xml:space="preserve">Конкуретност</t>
  </si>
  <si>
    <t xml:space="preserve">Бонитет и насока</t>
  </si>
  <si>
    <t xml:space="preserve">Цена</t>
  </si>
  <si>
    <t xml:space="preserve">Број на акции</t>
  </si>
  <si>
    <t xml:space="preserve">Тек. Средства</t>
  </si>
  <si>
    <t xml:space="preserve">Добавувачи</t>
  </si>
  <si>
    <t xml:space="preserve">Ново конкурентост</t>
  </si>
  <si>
    <t xml:space="preserve">Тек. Конкуренција</t>
  </si>
  <si>
    <t xml:space="preserve"> Субститути</t>
  </si>
  <si>
    <t xml:space="preserve">Потрошувачи</t>
  </si>
  <si>
    <t xml:space="preserve">Назад</t>
  </si>
  <si>
    <t xml:space="preserve">20Q1</t>
  </si>
  <si>
    <t xml:space="preserve">20Q2</t>
  </si>
  <si>
    <t xml:space="preserve">20Q3</t>
  </si>
  <si>
    <t xml:space="preserve">20Q4</t>
  </si>
  <si>
    <t xml:space="preserve">21Q1</t>
  </si>
  <si>
    <t xml:space="preserve">21Q2</t>
  </si>
  <si>
    <t xml:space="preserve">21Q3</t>
  </si>
  <si>
    <t xml:space="preserve">21Q4</t>
  </si>
  <si>
    <t xml:space="preserve">22Q1</t>
  </si>
  <si>
    <t xml:space="preserve">Оперативни текови</t>
  </si>
  <si>
    <t xml:space="preserve">Бруто Приходи</t>
  </si>
  <si>
    <t xml:space="preserve">Трош за произ/наб.</t>
  </si>
  <si>
    <t xml:space="preserve">Бруто Добивка (COGS)</t>
  </si>
  <si>
    <t xml:space="preserve">Трош за продажба</t>
  </si>
  <si>
    <t xml:space="preserve">Трош за истр. и раз.</t>
  </si>
  <si>
    <t xml:space="preserve">Трош за админ. и мен.</t>
  </si>
  <si>
    <t xml:space="preserve">Оперативни трошоци</t>
  </si>
  <si>
    <t xml:space="preserve">Оперативна добивка (EBITDA)</t>
  </si>
  <si>
    <t xml:space="preserve">Финансирање</t>
  </si>
  <si>
    <t xml:space="preserve">Приходи од финансирање</t>
  </si>
  <si>
    <t xml:space="preserve">Расходи од финансирање</t>
  </si>
  <si>
    <t xml:space="preserve">Добивка од финан.</t>
  </si>
  <si>
    <t xml:space="preserve">Други текови</t>
  </si>
  <si>
    <t xml:space="preserve">Приходи од други текови</t>
  </si>
  <si>
    <t xml:space="preserve">Расходи од други текови</t>
  </si>
  <si>
    <t xml:space="preserve">Добивка од други текови</t>
  </si>
  <si>
    <t xml:space="preserve">Вкупно</t>
  </si>
  <si>
    <t xml:space="preserve">Добивка пред даночење (EBT)</t>
  </si>
  <si>
    <t xml:space="preserve">Даноци</t>
  </si>
  <si>
    <t xml:space="preserve">Нето добивка/Профит</t>
  </si>
  <si>
    <t xml:space="preserve">Модел</t>
  </si>
  <si>
    <t xml:space="preserve">Стапка на созревање</t>
  </si>
  <si>
    <t xml:space="preserve">Дисконтна стапка</t>
  </si>
  <si>
    <t xml:space="preserve">Нето Сегашна Вредност</t>
  </si>
  <si>
    <t xml:space="preserve">Вредност</t>
  </si>
  <si>
    <t xml:space="preserve">Цена по акција</t>
  </si>
  <si>
    <t xml:space="preserve">/ дивидена</t>
  </si>
  <si>
    <t xml:space="preserve">Пазарна цена</t>
  </si>
  <si>
    <t xml:space="preserve">Разлика (Профит/Разлика)</t>
  </si>
  <si>
    <t xml:space="preserve">Дивиденда</t>
  </si>
  <si>
    <t xml:space="preserve">Вредност </t>
  </si>
  <si>
    <t xml:space="preserve">по 10год</t>
  </si>
  <si>
    <t xml:space="preserve">Куповна цена</t>
  </si>
  <si>
    <t xml:space="preserve">Апс. Разлика (Профит/Разлика)</t>
  </si>
  <si>
    <t xml:space="preserve">Годишна</t>
  </si>
  <si>
    <t xml:space="preserve">Бруто Маржа</t>
  </si>
  <si>
    <t xml:space="preserve">Оперативна Маржа</t>
  </si>
  <si>
    <t xml:space="preserve">Профит Маржа</t>
  </si>
  <si>
    <t xml:space="preserve">Данок</t>
  </si>
  <si>
    <t xml:space="preserve">Удели на приходи</t>
  </si>
  <si>
    <t xml:space="preserve">Приход од продажба</t>
  </si>
  <si>
    <t xml:space="preserve">Приход од финансирање</t>
  </si>
  <si>
    <t xml:space="preserve">Приход од други текови</t>
  </si>
  <si>
    <t xml:space="preserve">Пораст на приход г/г</t>
  </si>
  <si>
    <t xml:space="preserve">Пораст на трошоци за продажба г/г</t>
  </si>
  <si>
    <t xml:space="preserve">Пораст на оперативни трош г/г</t>
  </si>
  <si>
    <t xml:space="preserve">Прод. Пораст на опер. Приход </t>
  </si>
  <si>
    <t xml:space="preserve">Пораст на профит</t>
  </si>
  <si>
    <t xml:space="preserve">Вредносни</t>
  </si>
  <si>
    <t xml:space="preserve">Поврат на средства</t>
  </si>
  <si>
    <t xml:space="preserve">Поврат на капитал</t>
  </si>
  <si>
    <t xml:space="preserve">Цена/Добивка</t>
  </si>
  <si>
    <t xml:space="preserve">Цена/По сметководствена вред.</t>
  </si>
  <si>
    <t xml:space="preserve">Должнички</t>
  </si>
  <si>
    <t xml:space="preserve">Покритие на капитал со долг</t>
  </si>
  <si>
    <t xml:space="preserve">Долг/Средства</t>
  </si>
  <si>
    <t xml:space="preserve">ДАТУМ</t>
  </si>
  <si>
    <t xml:space="preserve">Тековни средства</t>
  </si>
  <si>
    <t xml:space="preserve">Тековни обврски</t>
  </si>
  <si>
    <t xml:space="preserve">Пари</t>
  </si>
  <si>
    <t xml:space="preserve">Обврски спрема добавувачи</t>
  </si>
  <si>
    <t xml:space="preserve">Парични еквиваленти</t>
  </si>
  <si>
    <t xml:space="preserve">Обврски спрема државата</t>
  </si>
  <si>
    <t xml:space="preserve">Побарувања од купувачи</t>
  </si>
  <si>
    <t xml:space="preserve">Обврски за краткорочни обврски</t>
  </si>
  <si>
    <t xml:space="preserve">Побарувања (останати)</t>
  </si>
  <si>
    <t xml:space="preserve">Краткорочни резервирања</t>
  </si>
  <si>
    <t xml:space="preserve">Краткорочни вложувања</t>
  </si>
  <si>
    <t xml:space="preserve">ПВР</t>
  </si>
  <si>
    <t xml:space="preserve">Залиха</t>
  </si>
  <si>
    <t xml:space="preserve">АВР</t>
  </si>
  <si>
    <t xml:space="preserve">Постојани обврски</t>
  </si>
  <si>
    <t xml:space="preserve">Обврски за долгорочни кредити</t>
  </si>
  <si>
    <t xml:space="preserve">Постојани средства</t>
  </si>
  <si>
    <t xml:space="preserve">Долго. обврски кон добавувачи</t>
  </si>
  <si>
    <t xml:space="preserve">Недвижност</t>
  </si>
  <si>
    <t xml:space="preserve">Останати долго. Резервирања</t>
  </si>
  <si>
    <t xml:space="preserve">Опрема</t>
  </si>
  <si>
    <t xml:space="preserve">Одложени даночни обврски</t>
  </si>
  <si>
    <t xml:space="preserve">Биолошки средства</t>
  </si>
  <si>
    <t xml:space="preserve">Долгорочни обврски</t>
  </si>
  <si>
    <t xml:space="preserve">Долгорочни вложувања</t>
  </si>
  <si>
    <t xml:space="preserve">Побарувања по долгорочни вло.</t>
  </si>
  <si>
    <t xml:space="preserve">Вкупно обврски</t>
  </si>
  <si>
    <t xml:space="preserve">Нематријални средства</t>
  </si>
  <si>
    <t xml:space="preserve">Вложувања во хартии од вред.</t>
  </si>
  <si>
    <t xml:space="preserve">Капитал</t>
  </si>
  <si>
    <t xml:space="preserve">Останати долгорочни средства</t>
  </si>
  <si>
    <t xml:space="preserve">Основна главина</t>
  </si>
  <si>
    <t xml:space="preserve">Долгорочни средства</t>
  </si>
  <si>
    <t xml:space="preserve">Резерви</t>
  </si>
  <si>
    <t xml:space="preserve">Акумулирана добивка/загуба</t>
  </si>
  <si>
    <t xml:space="preserve">Вкупно средства</t>
  </si>
  <si>
    <t xml:space="preserve">Вкупно капитал</t>
  </si>
  <si>
    <t xml:space="preserve">Вкупно пари</t>
  </si>
  <si>
    <t xml:space="preserve">Вкупно пасива</t>
  </si>
  <si>
    <t xml:space="preserve">Ставка</t>
  </si>
  <si>
    <t xml:space="preserve">+/-</t>
  </si>
  <si>
    <t xml:space="preserve">Разлика</t>
  </si>
  <si>
    <t xml:space="preserve">Издадени должнички хартии од вредност</t>
  </si>
  <si>
    <t xml:space="preserve">Камата</t>
  </si>
  <si>
    <t xml:space="preserve">Издавање</t>
  </si>
  <si>
    <t xml:space="preserve">Доспевање</t>
  </si>
  <si>
    <t xml:space="preserve">Нето добивка/загуба</t>
  </si>
  <si>
    <t xml:space="preserve">Амортизација</t>
  </si>
  <si>
    <t xml:space="preserve">Залихи</t>
  </si>
  <si>
    <t xml:space="preserve">Поб. на купувачите</t>
  </si>
  <si>
    <t xml:space="preserve">Поб. за издад. аванси</t>
  </si>
  <si>
    <t xml:space="preserve">Оштетување на сред. и рез.</t>
  </si>
  <si>
    <t xml:space="preserve">Останати кратк. поб.</t>
  </si>
  <si>
    <t xml:space="preserve">Долг/Капитал</t>
  </si>
  <si>
    <t xml:space="preserve">Покритие на камата</t>
  </si>
  <si>
    <t xml:space="preserve">Обврски кон добав</t>
  </si>
  <si>
    <t xml:space="preserve">Обврски за при. аванси</t>
  </si>
  <si>
    <t xml:space="preserve">Поврат на побарувања</t>
  </si>
  <si>
    <t xml:space="preserve">Останати кратк обв.</t>
  </si>
  <si>
    <t xml:space="preserve">Рас./при од камати</t>
  </si>
  <si>
    <t xml:space="preserve">Дивиденди</t>
  </si>
  <si>
    <t xml:space="preserve">Расходи за платен данок</t>
  </si>
  <si>
    <t xml:space="preserve">Осн. Капитална доб/заг</t>
  </si>
  <si>
    <t xml:space="preserve">Вло. Капитална доб/заг</t>
  </si>
  <si>
    <t xml:space="preserve">Ост. Парични при/одл.</t>
  </si>
  <si>
    <t xml:space="preserve">Нето прилив/одлив</t>
  </si>
  <si>
    <t xml:space="preserve">Инвестициони активности</t>
  </si>
  <si>
    <t xml:space="preserve">Набавка на инв. Сред.</t>
  </si>
  <si>
    <t xml:space="preserve">Продажба на инв сред.</t>
  </si>
  <si>
    <t xml:space="preserve">При за хартии од вред</t>
  </si>
  <si>
    <t xml:space="preserve">Одл за хартии од вред</t>
  </si>
  <si>
    <t xml:space="preserve">Камати</t>
  </si>
  <si>
    <t xml:space="preserve">Дивиденди од инвести.</t>
  </si>
  <si>
    <t xml:space="preserve">Финансиски активности</t>
  </si>
  <si>
    <t xml:space="preserve">Издавање на акции и сл</t>
  </si>
  <si>
    <t xml:space="preserve">Враќање на заеми</t>
  </si>
  <si>
    <t xml:space="preserve">При. од издадени дол. хартии од вредност и кредити</t>
  </si>
  <si>
    <t xml:space="preserve">Стекнување на мал. Интерес</t>
  </si>
  <si>
    <t xml:space="preserve">Исплатена дивиденда</t>
  </si>
  <si>
    <t xml:space="preserve">Откуп/прод. на соп. акции</t>
  </si>
  <si>
    <t xml:space="preserve">Нам. на обвр. за фин. лизинг</t>
  </si>
  <si>
    <t xml:space="preserve">Нето парична промена</t>
  </si>
  <si>
    <t xml:space="preserve">Пари на почеток на годината</t>
  </si>
  <si>
    <t xml:space="preserve">Парична промена</t>
  </si>
  <si>
    <t xml:space="preserve">Пари на крај од годината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</si>
</sst>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#,##0"/>
    <numFmt numFmtId="167" formatCode="0%"/>
    <numFmt numFmtId="168" formatCode="0.0%"/>
    <numFmt numFmtId="169" formatCode="0.00%"/>
    <numFmt numFmtId="170" formatCode="#,##0.00;[RED]\-#,##0.00"/>
    <numFmt numFmtId="171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0"/>
      <color rgb="FF0000FF"/>
      <name val="Arial"/>
      <family val="2"/>
      <charset val="1"/>
    </font>
    <font>
      <sz val="11"/>
      <color rgb="FF000000"/>
      <name val="Arial"/>
      <family val="0"/>
      <charset val="1"/>
    </font>
    <font>
      <sz val="8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B2B2B2"/>
        <bgColor rgb="FFB3CAC7"/>
      </patternFill>
    </fill>
    <fill>
      <patternFill patternType="solid">
        <fgColor rgb="FFF7D1D5"/>
        <bgColor rgb="FFFFDBB6"/>
      </patternFill>
    </fill>
    <fill>
      <patternFill patternType="solid">
        <fgColor rgb="FFF6F9D4"/>
        <bgColor rgb="FFE8F2A1"/>
      </patternFill>
    </fill>
    <fill>
      <patternFill patternType="solid">
        <fgColor rgb="FFB4C7DC"/>
        <bgColor rgb="FFB3CAC7"/>
      </patternFill>
    </fill>
    <fill>
      <patternFill patternType="solid">
        <fgColor rgb="FFFFDBB6"/>
        <bgColor rgb="FFF7D1D5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6F9D4"/>
      </patternFill>
    </fill>
    <fill>
      <patternFill patternType="solid">
        <fgColor rgb="FF999999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6D6D"/>
        <bgColor rgb="FFFF6600"/>
      </patternFill>
    </fill>
    <fill>
      <patternFill patternType="solid">
        <fgColor rgb="FF729FCF"/>
        <bgColor rgb="FF999999"/>
      </patternFill>
    </fill>
    <fill>
      <patternFill patternType="solid">
        <fgColor rgb="FFFFAA95"/>
        <bgColor rgb="FFEC9BA4"/>
      </patternFill>
    </fill>
    <fill>
      <patternFill patternType="solid">
        <fgColor rgb="FF2A6099"/>
        <bgColor rgb="FF666699"/>
      </patternFill>
    </fill>
    <fill>
      <patternFill patternType="solid">
        <fgColor rgb="FFDDDDDD"/>
        <bgColor rgb="FFF7D1D5"/>
      </patternFill>
    </fill>
    <fill>
      <patternFill patternType="solid">
        <fgColor rgb="FFEC9BA4"/>
        <bgColor rgb="FFFFAA95"/>
      </patternFill>
    </fill>
    <fill>
      <patternFill patternType="solid">
        <fgColor rgb="FFAFD095"/>
        <bgColor rgb="FFB3CAC7"/>
      </patternFill>
    </fill>
    <fill>
      <patternFill patternType="solid">
        <fgColor rgb="FF81D41A"/>
        <bgColor rgb="FF77BC65"/>
      </patternFill>
    </fill>
    <fill>
      <patternFill patternType="solid">
        <fgColor rgb="FFB3CAC7"/>
        <bgColor rgb="FFB4C7DC"/>
      </patternFill>
    </fill>
    <fill>
      <patternFill patternType="solid">
        <fgColor rgb="FF77BC65"/>
        <bgColor rgb="FF81D41A"/>
      </patternFill>
    </fill>
    <fill>
      <patternFill patternType="solid">
        <fgColor rgb="FFFFFF6D"/>
        <bgColor rgb="FFE8F2A1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1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7D1D5"/>
      <rgbColor rgb="FFFF0000"/>
      <rgbColor rgb="FF00FF00"/>
      <rgbColor rgb="FF0000FF"/>
      <rgbColor rgb="FFD4EA6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6F9D4"/>
      <rgbColor rgb="FFDDDDDD"/>
      <rgbColor rgb="FF660066"/>
      <rgbColor rgb="FFFF6D6D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8F2A1"/>
      <rgbColor rgb="FFFFFF6D"/>
      <rgbColor rgb="FFAFD095"/>
      <rgbColor rgb="FFEC9BA4"/>
      <rgbColor rgb="FFB2B2B2"/>
      <rgbColor rgb="FFFFDBB6"/>
      <rgbColor rgb="FF3366FF"/>
      <rgbColor rgb="FF33CCCC"/>
      <rgbColor rgb="FF81D41A"/>
      <rgbColor rgb="FFFFCC00"/>
      <rgbColor rgb="FFFFAA95"/>
      <rgbColor rgb="FFFF6600"/>
      <rgbColor rgb="FF666699"/>
      <rgbColor rgb="FF999999"/>
      <rgbColor rgb="FF003366"/>
      <rgbColor rgb="FF77BC6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2" min="2" style="0" width="17.27"/>
    <col collapsed="false" customWidth="true" hidden="false" outlineLevel="0" max="3" min="3" style="0" width="27.55"/>
    <col collapsed="false" customWidth="true" hidden="false" outlineLevel="0" max="4" min="4" style="0" width="18.77"/>
    <col collapsed="false" customWidth="true" hidden="false" outlineLevel="0" max="5" min="5" style="0" width="20.45"/>
    <col collapsed="false" customWidth="true" hidden="false" outlineLevel="0" max="6" min="6" style="0" width="3.45"/>
    <col collapsed="false" customWidth="true" hidden="false" outlineLevel="0" max="7" min="7" style="0" width="6.94"/>
    <col collapsed="false" customWidth="true" hidden="false" outlineLevel="0" max="8" min="8" style="0" width="10.12"/>
    <col collapsed="false" customWidth="true" hidden="false" outlineLevel="0" max="9" min="9" style="0" width="15.68"/>
    <col collapsed="false" customWidth="true" hidden="false" outlineLevel="0" max="12" min="12" style="1" width="12.8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2" t="s">
        <v>1</v>
      </c>
      <c r="B2" s="0" t="s">
        <v>2</v>
      </c>
      <c r="C2" s="3" t="s">
        <v>3</v>
      </c>
      <c r="D2" s="0" t="s">
        <v>4</v>
      </c>
      <c r="E2" s="4"/>
      <c r="F2" s="5"/>
      <c r="G2" s="6"/>
      <c r="H2" s="6"/>
      <c r="I2" s="6"/>
      <c r="J2" s="6"/>
      <c r="K2" s="6"/>
      <c r="L2" s="7"/>
      <c r="M2" s="6"/>
    </row>
    <row r="3" customFormat="false" ht="12.8" hidden="false" customHeight="false" outlineLevel="0" collapsed="false">
      <c r="A3" s="2" t="s">
        <v>5</v>
      </c>
      <c r="B3" s="0" t="s">
        <v>6</v>
      </c>
      <c r="C3" s="3" t="s">
        <v>7</v>
      </c>
      <c r="D3" s="0" t="s">
        <v>8</v>
      </c>
      <c r="E3" s="3" t="s">
        <v>9</v>
      </c>
      <c r="F3" s="6"/>
      <c r="G3" s="3" t="s">
        <v>10</v>
      </c>
      <c r="H3" s="8" t="s">
        <v>11</v>
      </c>
      <c r="I3" s="9" t="s">
        <v>12</v>
      </c>
      <c r="J3" s="8" t="s">
        <v>13</v>
      </c>
      <c r="K3" s="9" t="s">
        <v>12</v>
      </c>
      <c r="L3" s="8" t="s">
        <v>14</v>
      </c>
      <c r="M3" s="9" t="s">
        <v>12</v>
      </c>
    </row>
    <row r="4" customFormat="false" ht="12.8" hidden="false" customHeight="false" outlineLevel="0" collapsed="false">
      <c r="A4" s="2" t="s">
        <v>15</v>
      </c>
      <c r="C4" s="10"/>
      <c r="E4" s="10"/>
      <c r="F4" s="6"/>
      <c r="G4" s="4"/>
      <c r="H4" s="11"/>
      <c r="I4" s="12"/>
      <c r="J4" s="11"/>
      <c r="K4" s="12"/>
      <c r="L4" s="11"/>
      <c r="M4" s="12"/>
    </row>
    <row r="5" customFormat="false" ht="13.8" hidden="false" customHeight="false" outlineLevel="0" collapsed="false">
      <c r="D5" s="0" t="s">
        <v>16</v>
      </c>
      <c r="E5" s="13" t="n">
        <v>374.14</v>
      </c>
      <c r="F5" s="6"/>
      <c r="G5" s="4"/>
      <c r="H5" s="14"/>
      <c r="I5" s="12"/>
      <c r="J5" s="14"/>
      <c r="K5" s="12"/>
      <c r="L5" s="11"/>
      <c r="M5" s="12"/>
    </row>
    <row r="6" customFormat="false" ht="12.8" hidden="false" customHeight="false" outlineLevel="0" collapsed="false">
      <c r="D6" s="0" t="s">
        <v>17</v>
      </c>
      <c r="E6" s="15" t="n">
        <f aca="false">95838780/1000</f>
        <v>95838.78</v>
      </c>
      <c r="F6" s="6"/>
      <c r="G6" s="4"/>
      <c r="H6" s="14"/>
      <c r="I6" s="12"/>
      <c r="J6" s="14"/>
      <c r="K6" s="12"/>
      <c r="L6" s="11"/>
      <c r="M6" s="12"/>
    </row>
    <row r="7" customFormat="false" ht="12.8" hidden="false" customHeight="false" outlineLevel="0" collapsed="false">
      <c r="D7" s="0" t="s">
        <v>18</v>
      </c>
      <c r="E7" s="16" t="n">
        <f aca="false">Средства!B26</f>
        <v>3923812.1</v>
      </c>
      <c r="F7" s="6"/>
      <c r="G7" s="4"/>
      <c r="H7" s="14"/>
      <c r="I7" s="12"/>
      <c r="J7" s="14"/>
      <c r="K7" s="12"/>
      <c r="L7" s="11"/>
      <c r="M7" s="12"/>
    </row>
    <row r="8" customFormat="false" ht="12.8" hidden="false" customHeight="false" outlineLevel="0" collapsed="false">
      <c r="A8" s="6"/>
      <c r="B8" s="6"/>
      <c r="C8" s="6"/>
      <c r="D8" s="6"/>
      <c r="E8" s="6"/>
      <c r="F8" s="6"/>
      <c r="G8" s="4"/>
      <c r="H8" s="14"/>
      <c r="I8" s="12"/>
      <c r="J8" s="14"/>
      <c r="K8" s="12"/>
      <c r="L8" s="11"/>
      <c r="M8" s="12"/>
    </row>
    <row r="9" customFormat="false" ht="12.8" hidden="false" customHeight="false" outlineLevel="0" collapsed="false">
      <c r="A9" s="17" t="s">
        <v>19</v>
      </c>
      <c r="B9" s="17" t="s">
        <v>20</v>
      </c>
      <c r="C9" s="17" t="s">
        <v>21</v>
      </c>
      <c r="D9" s="18" t="s">
        <v>22</v>
      </c>
      <c r="E9" s="17" t="s">
        <v>23</v>
      </c>
      <c r="F9" s="6"/>
      <c r="G9" s="4"/>
      <c r="H9" s="14"/>
      <c r="I9" s="12"/>
      <c r="J9" s="14"/>
      <c r="K9" s="12"/>
      <c r="L9" s="11"/>
      <c r="M9" s="12"/>
    </row>
    <row r="10" customFormat="false" ht="12.8" hidden="false" customHeight="false" outlineLevel="0" collapsed="false">
      <c r="F10" s="6"/>
      <c r="G10" s="4"/>
      <c r="H10" s="11"/>
      <c r="I10" s="12"/>
      <c r="J10" s="11"/>
      <c r="K10" s="12"/>
      <c r="L10" s="11"/>
      <c r="M10" s="12"/>
    </row>
    <row r="11" customFormat="false" ht="12.8" hidden="false" customHeight="false" outlineLevel="0" collapsed="false">
      <c r="F11" s="6"/>
      <c r="G11" s="4"/>
      <c r="H11" s="14"/>
      <c r="I11" s="12"/>
      <c r="J11" s="14"/>
      <c r="K11" s="12"/>
      <c r="L11" s="11"/>
      <c r="M11" s="12"/>
    </row>
    <row r="12" customFormat="false" ht="12.8" hidden="false" customHeight="false" outlineLevel="0" collapsed="false">
      <c r="F12" s="6"/>
      <c r="G12" s="4"/>
      <c r="H12" s="14"/>
      <c r="I12" s="12"/>
      <c r="J12" s="14"/>
      <c r="K12" s="12"/>
      <c r="L12" s="11"/>
      <c r="M12" s="12"/>
    </row>
    <row r="13" customFormat="false" ht="12.8" hidden="false" customHeight="false" outlineLevel="0" collapsed="false">
      <c r="F13" s="6"/>
      <c r="G13" s="4"/>
      <c r="H13" s="14"/>
      <c r="I13" s="12"/>
      <c r="J13" s="14"/>
      <c r="K13" s="12"/>
      <c r="L13" s="11"/>
      <c r="M13" s="12"/>
    </row>
    <row r="14" customFormat="false" ht="12.8" hidden="false" customHeight="false" outlineLevel="0" collapsed="false">
      <c r="F14" s="6"/>
      <c r="G14" s="4"/>
      <c r="H14" s="14"/>
      <c r="I14" s="12"/>
      <c r="J14" s="14"/>
      <c r="K14" s="12"/>
      <c r="L14" s="11"/>
      <c r="M14" s="12"/>
    </row>
    <row r="15" customFormat="false" ht="12.8" hidden="false" customHeight="false" outlineLevel="0" collapsed="false">
      <c r="F15" s="6"/>
      <c r="G15" s="4"/>
      <c r="H15" s="14"/>
      <c r="I15" s="12"/>
      <c r="J15" s="14"/>
      <c r="K15" s="12"/>
      <c r="L15" s="11"/>
      <c r="M15" s="12"/>
    </row>
  </sheetData>
  <hyperlinks>
    <hyperlink ref="A2" location="Готовински принос" display="Готвински принос"/>
    <hyperlink ref="A3" location="Средства" display="Средства"/>
    <hyperlink ref="A4" location="Бонитет и насока" display="Бонитет и насока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2" activePane="bottomRight" state="frozen"/>
      <selection pane="topLeft" activeCell="A1" activeCellId="0" sqref="A1"/>
      <selection pane="topRight" activeCell="B1" activeCellId="0" sqref="B1"/>
      <selection pane="bottomLeft" activeCell="A22" activeCellId="0" sqref="A22"/>
      <selection pane="bottomRight" activeCell="D33" activeCellId="0" sqref="D3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7.41"/>
    <col collapsed="false" customWidth="false" hidden="false" outlineLevel="0" max="14" min="3" style="1" width="11.52"/>
    <col collapsed="false" customWidth="true" hidden="false" outlineLevel="0" max="28" min="15" style="0" width="11.64"/>
  </cols>
  <sheetData>
    <row r="1" customFormat="false" ht="12.8" hidden="false" customHeight="false" outlineLevel="0" collapsed="false">
      <c r="A1" s="2" t="s">
        <v>24</v>
      </c>
      <c r="B1" s="8" t="n">
        <v>2020</v>
      </c>
      <c r="C1" s="8" t="s">
        <v>25</v>
      </c>
      <c r="D1" s="19" t="s">
        <v>26</v>
      </c>
      <c r="E1" s="1" t="s">
        <v>27</v>
      </c>
      <c r="F1" s="20" t="s">
        <v>28</v>
      </c>
      <c r="G1" s="1" t="n">
        <v>2020</v>
      </c>
      <c r="H1" s="8" t="s">
        <v>29</v>
      </c>
      <c r="I1" s="1" t="s">
        <v>30</v>
      </c>
      <c r="J1" s="1" t="s">
        <v>31</v>
      </c>
      <c r="K1" s="20" t="s">
        <v>32</v>
      </c>
      <c r="L1" s="1" t="n">
        <v>2021</v>
      </c>
      <c r="M1" s="1" t="s">
        <v>33</v>
      </c>
      <c r="N1" s="21"/>
      <c r="O1" s="22" t="n">
        <v>2019</v>
      </c>
      <c r="P1" s="22" t="n">
        <v>2020</v>
      </c>
      <c r="Q1" s="22" t="n">
        <v>2021</v>
      </c>
      <c r="R1" s="22" t="n">
        <v>2022</v>
      </c>
      <c r="S1" s="22" t="n">
        <v>2023</v>
      </c>
      <c r="T1" s="22" t="n">
        <v>2024</v>
      </c>
      <c r="U1" s="22" t="n">
        <v>2025</v>
      </c>
      <c r="V1" s="22" t="n">
        <v>2026</v>
      </c>
      <c r="W1" s="22" t="n">
        <v>2027</v>
      </c>
      <c r="X1" s="22" t="n">
        <v>2028</v>
      </c>
      <c r="Y1" s="22" t="n">
        <v>2029</v>
      </c>
      <c r="Z1" s="22" t="n">
        <v>2030</v>
      </c>
      <c r="AA1" s="22" t="n">
        <v>2031</v>
      </c>
      <c r="AB1" s="22" t="n">
        <v>2032</v>
      </c>
    </row>
    <row r="2" customFormat="false" ht="12.8" hidden="false" customHeight="false" outlineLevel="0" collapsed="false">
      <c r="N2" s="2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customFormat="false" ht="12.8" hidden="false" customHeight="false" outlineLevel="0" collapsed="false">
      <c r="A3" s="23" t="s">
        <v>34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1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customFormat="false" ht="12.8" hidden="false" customHeight="false" outlineLevel="0" collapsed="false">
      <c r="A4" s="0" t="s">
        <v>35</v>
      </c>
      <c r="B4" s="24" t="n">
        <v>10840514</v>
      </c>
      <c r="C4" s="24" t="n">
        <v>2619421</v>
      </c>
      <c r="D4" s="24" t="n">
        <f aca="false">5117613-C4</f>
        <v>2498192</v>
      </c>
      <c r="E4" s="24" t="n">
        <f aca="false">7926778-(D4+C4)</f>
        <v>2809165</v>
      </c>
      <c r="F4" s="24" t="n">
        <f aca="false">(11085220)-(E4+D4+C4)</f>
        <v>3158442</v>
      </c>
      <c r="G4" s="25" t="n">
        <f aca="false">SUM(C4:F4)</f>
        <v>11085220</v>
      </c>
      <c r="H4" s="24" t="n">
        <v>2686314</v>
      </c>
      <c r="I4" s="24" t="n">
        <f aca="false">(5391016)-H4</f>
        <v>2704702</v>
      </c>
      <c r="J4" s="24" t="n">
        <f aca="false">(8378263)-(I4+H4)</f>
        <v>2987247</v>
      </c>
      <c r="K4" s="24" t="n">
        <f aca="false">(11216512)-(J4+I4+H4)</f>
        <v>2838249</v>
      </c>
      <c r="L4" s="25" t="n">
        <f aca="false">SUM(H4:K4)</f>
        <v>11216512</v>
      </c>
      <c r="M4" s="24" t="n">
        <v>2779180</v>
      </c>
      <c r="N4" s="21"/>
      <c r="O4" s="24" t="n">
        <f aca="false">B4</f>
        <v>10840514</v>
      </c>
      <c r="P4" s="24" t="n">
        <f aca="false">G4</f>
        <v>11085220</v>
      </c>
      <c r="Q4" s="24" t="n">
        <f aca="false">L4</f>
        <v>11216512</v>
      </c>
      <c r="R4" s="24" t="n">
        <f aca="false">Q4*0.99</f>
        <v>11104346.88</v>
      </c>
      <c r="S4" s="24" t="n">
        <f aca="false">R4*0.99</f>
        <v>10993303.4112</v>
      </c>
      <c r="T4" s="24" t="n">
        <f aca="false">S4*0.99</f>
        <v>10883370.377088</v>
      </c>
      <c r="U4" s="24" t="n">
        <f aca="false">T4*0.99</f>
        <v>10774536.6733171</v>
      </c>
      <c r="V4" s="24" t="n">
        <f aca="false">U4*0.99</f>
        <v>10666791.306584</v>
      </c>
      <c r="W4" s="24" t="n">
        <f aca="false">V4*0.99</f>
        <v>10560123.3935181</v>
      </c>
      <c r="X4" s="24" t="n">
        <f aca="false">W4*0.99</f>
        <v>10454522.1595829</v>
      </c>
      <c r="Y4" s="24" t="n">
        <f aca="false">X4*0.99</f>
        <v>10349976.9379871</v>
      </c>
      <c r="Z4" s="24" t="n">
        <f aca="false">Y4*0.99</f>
        <v>10246477.1686072</v>
      </c>
      <c r="AA4" s="24" t="n">
        <f aca="false">Z4*0.99</f>
        <v>10144012.3969212</v>
      </c>
      <c r="AB4" s="24" t="n">
        <f aca="false">AA4*0.99</f>
        <v>10042572.2729519</v>
      </c>
    </row>
    <row r="5" customFormat="false" ht="12.8" hidden="false" customHeight="false" outlineLevel="0" collapsed="false">
      <c r="A5" s="0" t="s">
        <v>36</v>
      </c>
      <c r="B5" s="24" t="n">
        <f aca="false">1990931+2113278+1073867+20277</f>
        <v>5198353</v>
      </c>
      <c r="C5" s="24" t="n">
        <f aca="false">454167+67803+528264+292232+309</f>
        <v>1342775</v>
      </c>
      <c r="D5" s="24" t="n">
        <f aca="false">(884904+123323+1027601+513815+3776)-C5</f>
        <v>1210644</v>
      </c>
      <c r="E5" s="24" t="n">
        <f aca="false">(1379661+195361+1585633+759788+12729)-(D5+C5)</f>
        <v>1379753</v>
      </c>
      <c r="F5" s="24" t="n">
        <f aca="false">(2255028+2255501+1011625+30741)-(E5+D5+C5)</f>
        <v>1619723</v>
      </c>
      <c r="G5" s="25" t="n">
        <f aca="false">SUM(C5:F5)</f>
        <v>5552895</v>
      </c>
      <c r="H5" s="24" t="n">
        <f aca="false">458717+55329+561290+235123+4967</f>
        <v>1315426</v>
      </c>
      <c r="I5" s="24" t="n">
        <f aca="false">(853246+116052+1201635+517419+9885)-H5</f>
        <v>1382811</v>
      </c>
      <c r="J5" s="24" t="n">
        <f aca="false">(1306453+180911+1838937+753362+28303)-(I5+H5)</f>
        <v>1409729</v>
      </c>
      <c r="K5" s="24" t="n">
        <f aca="false">(1888922+249350+2444483+984969+62032)-(J5+I5+H5)</f>
        <v>1521790</v>
      </c>
      <c r="L5" s="25" t="n">
        <f aca="false">SUM(H5:K5)</f>
        <v>5629756</v>
      </c>
      <c r="M5" s="24" t="n">
        <f aca="false">508829+125397+576030+232021+4746</f>
        <v>1447023</v>
      </c>
      <c r="N5" s="21"/>
      <c r="O5" s="24" t="n">
        <f aca="false">B5</f>
        <v>5198353</v>
      </c>
      <c r="P5" s="24" t="n">
        <f aca="false">G5</f>
        <v>5552895</v>
      </c>
      <c r="Q5" s="24" t="n">
        <f aca="false">L5</f>
        <v>5629756</v>
      </c>
      <c r="R5" s="24" t="n">
        <f aca="false">Q5*0.99</f>
        <v>5573458.44</v>
      </c>
      <c r="S5" s="24" t="n">
        <f aca="false">R5*0.99</f>
        <v>5517723.8556</v>
      </c>
      <c r="T5" s="24" t="n">
        <f aca="false">S5*0.99</f>
        <v>5462546.617044</v>
      </c>
      <c r="U5" s="24" t="n">
        <f aca="false">T5*0.99</f>
        <v>5407921.15087356</v>
      </c>
      <c r="V5" s="24" t="n">
        <f aca="false">U5*0.99</f>
        <v>5353841.93936482</v>
      </c>
      <c r="W5" s="24" t="n">
        <f aca="false">V5*0.99</f>
        <v>5300303.51997118</v>
      </c>
      <c r="X5" s="24" t="n">
        <f aca="false">W5*0.99</f>
        <v>5247300.48477146</v>
      </c>
      <c r="Y5" s="24" t="n">
        <f aca="false">X5*0.99</f>
        <v>5194827.47992375</v>
      </c>
      <c r="Z5" s="24" t="n">
        <f aca="false">Y5*0.99</f>
        <v>5142879.20512451</v>
      </c>
      <c r="AA5" s="24" t="n">
        <f aca="false">Z5*0.99</f>
        <v>5091450.41307327</v>
      </c>
      <c r="AB5" s="24" t="n">
        <f aca="false">AA5*0.99</f>
        <v>5040535.90894253</v>
      </c>
    </row>
    <row r="6" customFormat="false" ht="12.8" hidden="false" customHeight="false" outlineLevel="0" collapsed="false">
      <c r="A6" s="0" t="s">
        <v>37</v>
      </c>
      <c r="B6" s="26" t="n">
        <f aca="false">+B4-B5</f>
        <v>5642161</v>
      </c>
      <c r="C6" s="26" t="n">
        <f aca="false">+C4-C5</f>
        <v>1276646</v>
      </c>
      <c r="D6" s="26" t="n">
        <f aca="false">+D4-D5</f>
        <v>1287548</v>
      </c>
      <c r="E6" s="26" t="n">
        <f aca="false">+E4-E5</f>
        <v>1429412</v>
      </c>
      <c r="F6" s="26" t="n">
        <f aca="false">+F4-F5</f>
        <v>1538719</v>
      </c>
      <c r="G6" s="27" t="n">
        <f aca="false">SUM(C6:F6)</f>
        <v>5532325</v>
      </c>
      <c r="H6" s="26" t="n">
        <f aca="false">+H4-H5</f>
        <v>1370888</v>
      </c>
      <c r="I6" s="26" t="n">
        <f aca="false">+I4-I5</f>
        <v>1321891</v>
      </c>
      <c r="J6" s="26" t="n">
        <f aca="false">+J4-J5</f>
        <v>1577518</v>
      </c>
      <c r="K6" s="26" t="n">
        <f aca="false">+K4-K5</f>
        <v>1316459</v>
      </c>
      <c r="L6" s="27" t="n">
        <f aca="false">SUM(H6:K6)</f>
        <v>5586756</v>
      </c>
      <c r="M6" s="26" t="n">
        <f aca="false">+M4-M5</f>
        <v>1332157</v>
      </c>
      <c r="N6" s="21"/>
      <c r="O6" s="26" t="n">
        <f aca="false">+O4-O5</f>
        <v>5642161</v>
      </c>
      <c r="P6" s="26" t="n">
        <f aca="false">+P4-P5</f>
        <v>5532325</v>
      </c>
      <c r="Q6" s="26" t="n">
        <f aca="false">+Q4-Q5</f>
        <v>5586756</v>
      </c>
      <c r="R6" s="26" t="n">
        <f aca="false">+R4-R5</f>
        <v>5530888.44</v>
      </c>
      <c r="S6" s="26" t="n">
        <f aca="false">+S4-S5</f>
        <v>5475579.5556</v>
      </c>
      <c r="T6" s="26" t="n">
        <f aca="false">+T4-T5</f>
        <v>5420823.760044</v>
      </c>
      <c r="U6" s="26" t="n">
        <f aca="false">+U4-U5</f>
        <v>5366615.52244356</v>
      </c>
      <c r="V6" s="26" t="n">
        <f aca="false">+V4-V5</f>
        <v>5312949.36721913</v>
      </c>
      <c r="W6" s="26" t="n">
        <f aca="false">+W4-W5</f>
        <v>5259819.87354693</v>
      </c>
      <c r="X6" s="26" t="n">
        <f aca="false">+X4-X5</f>
        <v>5207221.67481147</v>
      </c>
      <c r="Y6" s="26" t="n">
        <f aca="false">+Y4-Y5</f>
        <v>5155149.45806335</v>
      </c>
      <c r="Z6" s="26" t="n">
        <f aca="false">+Z4-Z5</f>
        <v>5103597.96348272</v>
      </c>
      <c r="AA6" s="26" t="n">
        <f aca="false">+AA4-AA5</f>
        <v>5052561.98384789</v>
      </c>
      <c r="AB6" s="26" t="n">
        <f aca="false">+AB4-AB5</f>
        <v>5002036.36400941</v>
      </c>
    </row>
    <row r="7" customFormat="false" ht="12.8" hidden="false" customHeight="false" outlineLevel="0" collapsed="false">
      <c r="A7" s="0" t="s">
        <v>38</v>
      </c>
      <c r="B7" s="24"/>
      <c r="C7" s="24"/>
      <c r="D7" s="24"/>
      <c r="E7" s="24"/>
      <c r="F7" s="24"/>
      <c r="G7" s="25" t="n">
        <f aca="false">SUM(C7:F7)</f>
        <v>0</v>
      </c>
      <c r="H7" s="24"/>
      <c r="I7" s="24"/>
      <c r="J7" s="24"/>
      <c r="K7" s="24"/>
      <c r="L7" s="25" t="n">
        <f aca="false">SUM(H7:K7)</f>
        <v>0</v>
      </c>
      <c r="M7" s="24"/>
      <c r="N7" s="21"/>
      <c r="O7" s="24" t="n">
        <f aca="false">B7</f>
        <v>0</v>
      </c>
      <c r="P7" s="24" t="n">
        <f aca="false">G7</f>
        <v>0</v>
      </c>
      <c r="Q7" s="24" t="n">
        <f aca="false">L7</f>
        <v>0</v>
      </c>
      <c r="R7" s="24" t="n">
        <f aca="false">M7</f>
        <v>0</v>
      </c>
      <c r="S7" s="24" t="n">
        <f aca="false">N7</f>
        <v>0</v>
      </c>
      <c r="T7" s="24" t="n">
        <f aca="false">O7</f>
        <v>0</v>
      </c>
      <c r="U7" s="24" t="n">
        <f aca="false">P7</f>
        <v>0</v>
      </c>
      <c r="V7" s="24" t="n">
        <f aca="false">Q7</f>
        <v>0</v>
      </c>
      <c r="W7" s="24" t="n">
        <f aca="false">R7</f>
        <v>0</v>
      </c>
      <c r="X7" s="24" t="n">
        <f aca="false">S7</f>
        <v>0</v>
      </c>
      <c r="Y7" s="24" t="n">
        <f aca="false">T7</f>
        <v>0</v>
      </c>
      <c r="Z7" s="24" t="n">
        <f aca="false">U7</f>
        <v>0</v>
      </c>
      <c r="AA7" s="24" t="n">
        <f aca="false">V7</f>
        <v>0</v>
      </c>
      <c r="AB7" s="24" t="n">
        <f aca="false">W7</f>
        <v>0</v>
      </c>
    </row>
    <row r="8" customFormat="false" ht="12.8" hidden="false" customHeight="false" outlineLevel="0" collapsed="false">
      <c r="A8" s="28" t="s">
        <v>39</v>
      </c>
      <c r="B8" s="24"/>
      <c r="C8" s="24"/>
      <c r="D8" s="24"/>
      <c r="E8" s="24"/>
      <c r="F8" s="24"/>
      <c r="G8" s="25" t="n">
        <f aca="false">SUM(C8:F8)</f>
        <v>0</v>
      </c>
      <c r="H8" s="24"/>
      <c r="I8" s="24"/>
      <c r="J8" s="24"/>
      <c r="K8" s="24"/>
      <c r="L8" s="25" t="n">
        <f aca="false">SUM(H8:K8)</f>
        <v>0</v>
      </c>
      <c r="M8" s="24"/>
      <c r="N8" s="21"/>
      <c r="O8" s="24" t="n">
        <f aca="false">B8</f>
        <v>0</v>
      </c>
      <c r="P8" s="24" t="n">
        <f aca="false">G8</f>
        <v>0</v>
      </c>
      <c r="Q8" s="24" t="n">
        <f aca="false">L8</f>
        <v>0</v>
      </c>
      <c r="R8" s="24" t="n">
        <f aca="false">M8</f>
        <v>0</v>
      </c>
      <c r="S8" s="24" t="n">
        <f aca="false">N8</f>
        <v>0</v>
      </c>
      <c r="T8" s="24" t="n">
        <f aca="false">O8</f>
        <v>0</v>
      </c>
      <c r="U8" s="24" t="n">
        <f aca="false">P8</f>
        <v>0</v>
      </c>
      <c r="V8" s="24" t="n">
        <f aca="false">Q8</f>
        <v>0</v>
      </c>
      <c r="W8" s="24" t="n">
        <f aca="false">R8</f>
        <v>0</v>
      </c>
      <c r="X8" s="24" t="n">
        <f aca="false">S8</f>
        <v>0</v>
      </c>
      <c r="Y8" s="24" t="n">
        <f aca="false">T8</f>
        <v>0</v>
      </c>
      <c r="Z8" s="24" t="n">
        <f aca="false">U8</f>
        <v>0</v>
      </c>
      <c r="AA8" s="24" t="n">
        <f aca="false">V8</f>
        <v>0</v>
      </c>
      <c r="AB8" s="24" t="n">
        <f aca="false">W8</f>
        <v>0</v>
      </c>
    </row>
    <row r="9" customFormat="false" ht="12.8" hidden="false" customHeight="false" outlineLevel="0" collapsed="false">
      <c r="A9" s="0" t="s">
        <v>40</v>
      </c>
      <c r="B9" s="24" t="n">
        <v>755853</v>
      </c>
      <c r="C9" s="24" t="n">
        <v>178578</v>
      </c>
      <c r="D9" s="24" t="n">
        <f aca="false">337877-C9</f>
        <v>159299</v>
      </c>
      <c r="E9" s="24" t="n">
        <f aca="false">(519388)-(D9+C9)</f>
        <v>181511</v>
      </c>
      <c r="F9" s="24" t="n">
        <f aca="false">(707015)-(E9+D9+C9)</f>
        <v>187627</v>
      </c>
      <c r="G9" s="25" t="n">
        <f aca="false">SUM(C9:F9)</f>
        <v>707015</v>
      </c>
      <c r="H9" s="24" t="n">
        <v>161675</v>
      </c>
      <c r="I9" s="24" t="n">
        <f aca="false">(328501)-H9</f>
        <v>166826</v>
      </c>
      <c r="J9" s="24" t="n">
        <f aca="false">(489633)-(I9+H9)</f>
        <v>161132</v>
      </c>
      <c r="K9" s="24" t="n">
        <f aca="false">(677472)-(J9+I9+H9)</f>
        <v>187839</v>
      </c>
      <c r="L9" s="25" t="n">
        <f aca="false">SUM(H9:K9)</f>
        <v>677472</v>
      </c>
      <c r="M9" s="24" t="n">
        <f aca="false">173380</f>
        <v>173380</v>
      </c>
      <c r="N9" s="21"/>
      <c r="O9" s="24" t="n">
        <f aca="false">B9</f>
        <v>755853</v>
      </c>
      <c r="P9" s="24" t="n">
        <f aca="false">G9</f>
        <v>707015</v>
      </c>
      <c r="Q9" s="24" t="n">
        <f aca="false">L9</f>
        <v>677472</v>
      </c>
      <c r="R9" s="24" t="n">
        <f aca="false">Q9*0.99</f>
        <v>670697.28</v>
      </c>
      <c r="S9" s="24" t="n">
        <f aca="false">R9*0.99</f>
        <v>663990.3072</v>
      </c>
      <c r="T9" s="24" t="n">
        <f aca="false">S9*0.99</f>
        <v>657350.404128</v>
      </c>
      <c r="U9" s="24" t="n">
        <f aca="false">T9*0.99</f>
        <v>650776.90008672</v>
      </c>
      <c r="V9" s="24" t="n">
        <f aca="false">U9*0.99</f>
        <v>644269.131085853</v>
      </c>
      <c r="W9" s="24" t="n">
        <f aca="false">V9*0.99</f>
        <v>637826.439774994</v>
      </c>
      <c r="X9" s="24" t="n">
        <f aca="false">W9*0.99</f>
        <v>631448.175377244</v>
      </c>
      <c r="Y9" s="24" t="n">
        <f aca="false">X9*0.99</f>
        <v>625133.693623472</v>
      </c>
      <c r="Z9" s="24" t="n">
        <f aca="false">Y9*0.99</f>
        <v>618882.356687237</v>
      </c>
      <c r="AA9" s="24" t="n">
        <f aca="false">Z9*0.99</f>
        <v>612693.533120365</v>
      </c>
      <c r="AB9" s="24" t="n">
        <f aca="false">AA9*0.99</f>
        <v>606566.597789161</v>
      </c>
    </row>
    <row r="10" customFormat="false" ht="12.8" hidden="false" customHeight="false" outlineLevel="0" collapsed="false">
      <c r="A10" s="0" t="s">
        <v>41</v>
      </c>
      <c r="B10" s="26" t="n">
        <f aca="false">SUM(B7:B9)</f>
        <v>755853</v>
      </c>
      <c r="C10" s="26" t="n">
        <f aca="false">SUM(C7:C9)</f>
        <v>178578</v>
      </c>
      <c r="D10" s="26" t="n">
        <f aca="false">SUM(D7:D9)</f>
        <v>159299</v>
      </c>
      <c r="E10" s="26" t="n">
        <f aca="false">SUM(E7:E9)</f>
        <v>181511</v>
      </c>
      <c r="F10" s="26" t="n">
        <f aca="false">SUM(F7:F9)</f>
        <v>187627</v>
      </c>
      <c r="G10" s="27" t="n">
        <f aca="false">SUM(C10:F10)</f>
        <v>707015</v>
      </c>
      <c r="H10" s="26" t="n">
        <f aca="false">SUM(H7:H9)</f>
        <v>161675</v>
      </c>
      <c r="I10" s="26" t="n">
        <f aca="false">SUM(I7:I9)</f>
        <v>166826</v>
      </c>
      <c r="J10" s="26" t="n">
        <f aca="false">SUM(J7:J9)</f>
        <v>161132</v>
      </c>
      <c r="K10" s="26" t="n">
        <f aca="false">SUM(K7:K9)</f>
        <v>187839</v>
      </c>
      <c r="L10" s="27" t="n">
        <f aca="false">SUM(H10:K10)</f>
        <v>677472</v>
      </c>
      <c r="M10" s="26" t="n">
        <f aca="false">SUM(M7:M9)</f>
        <v>173380</v>
      </c>
      <c r="N10" s="21"/>
      <c r="O10" s="26" t="n">
        <f aca="false">SUM(O7:O9)</f>
        <v>755853</v>
      </c>
      <c r="P10" s="26" t="n">
        <f aca="false">SUM(P7:P9)</f>
        <v>707015</v>
      </c>
      <c r="Q10" s="26" t="n">
        <f aca="false">SUM(Q7:Q9)</f>
        <v>677472</v>
      </c>
      <c r="R10" s="26" t="n">
        <f aca="false">SUM(R7:R9)</f>
        <v>670697.28</v>
      </c>
      <c r="S10" s="26" t="n">
        <f aca="false">SUM(S7:S9)</f>
        <v>663990.3072</v>
      </c>
      <c r="T10" s="26" t="n">
        <f aca="false">SUM(T7:T9)</f>
        <v>657350.404128</v>
      </c>
      <c r="U10" s="26" t="n">
        <f aca="false">SUM(U7:U9)</f>
        <v>650776.90008672</v>
      </c>
      <c r="V10" s="26" t="n">
        <f aca="false">SUM(V7:V9)</f>
        <v>644269.131085853</v>
      </c>
      <c r="W10" s="26" t="n">
        <f aca="false">SUM(W7:W9)</f>
        <v>637826.439774994</v>
      </c>
      <c r="X10" s="26" t="n">
        <f aca="false">SUM(X7:X9)</f>
        <v>631448.175377244</v>
      </c>
      <c r="Y10" s="26" t="n">
        <f aca="false">SUM(Y7:Y9)</f>
        <v>625133.693623472</v>
      </c>
      <c r="Z10" s="26" t="n">
        <f aca="false">SUM(Z7:Z9)</f>
        <v>618882.356687237</v>
      </c>
      <c r="AA10" s="26" t="n">
        <f aca="false">SUM(AA7:AA9)</f>
        <v>612693.533120365</v>
      </c>
      <c r="AB10" s="26" t="n">
        <f aca="false">SUM(AB7:AB9)</f>
        <v>606566.597789161</v>
      </c>
    </row>
    <row r="11" customFormat="false" ht="12.8" hidden="false" customHeight="false" outlineLevel="0" collapsed="false">
      <c r="A11" s="0" t="s">
        <v>42</v>
      </c>
      <c r="B11" s="29" t="n">
        <f aca="false">+B6-B10</f>
        <v>4886308</v>
      </c>
      <c r="C11" s="29" t="n">
        <f aca="false">+C6-C10</f>
        <v>1098068</v>
      </c>
      <c r="D11" s="29" t="n">
        <f aca="false">+D6-D10</f>
        <v>1128249</v>
      </c>
      <c r="E11" s="29" t="n">
        <f aca="false">+E6-E10</f>
        <v>1247901</v>
      </c>
      <c r="F11" s="29" t="n">
        <f aca="false">+F6-F10</f>
        <v>1351092</v>
      </c>
      <c r="G11" s="27" t="n">
        <f aca="false">SUM(C11:F11)</f>
        <v>4825310</v>
      </c>
      <c r="H11" s="29" t="n">
        <f aca="false">+H6-H10</f>
        <v>1209213</v>
      </c>
      <c r="I11" s="29" t="n">
        <f aca="false">+I6-I10</f>
        <v>1155065</v>
      </c>
      <c r="J11" s="29" t="n">
        <f aca="false">+J6-J10</f>
        <v>1416386</v>
      </c>
      <c r="K11" s="29" t="n">
        <f aca="false">+K6-K10</f>
        <v>1128620</v>
      </c>
      <c r="L11" s="27" t="n">
        <f aca="false">SUM(H11:K11)</f>
        <v>4909284</v>
      </c>
      <c r="M11" s="29" t="n">
        <f aca="false">+M6-M10</f>
        <v>1158777</v>
      </c>
      <c r="N11" s="21"/>
      <c r="O11" s="29" t="n">
        <f aca="false">+O6-O10</f>
        <v>4886308</v>
      </c>
      <c r="P11" s="29" t="n">
        <f aca="false">+P6-P10</f>
        <v>4825310</v>
      </c>
      <c r="Q11" s="29" t="n">
        <f aca="false">+Q6-Q10</f>
        <v>4909284</v>
      </c>
      <c r="R11" s="29" t="n">
        <f aca="false">+R6-R10</f>
        <v>4860191.16</v>
      </c>
      <c r="S11" s="29" t="n">
        <f aca="false">+S6-S10</f>
        <v>4811589.2484</v>
      </c>
      <c r="T11" s="29" t="n">
        <f aca="false">+T6-T10</f>
        <v>4763473.355916</v>
      </c>
      <c r="U11" s="29" t="n">
        <f aca="false">+U6-U10</f>
        <v>4715838.62235684</v>
      </c>
      <c r="V11" s="29" t="n">
        <f aca="false">+V6-V10</f>
        <v>4668680.23613327</v>
      </c>
      <c r="W11" s="29" t="n">
        <f aca="false">+W6-W10</f>
        <v>4621993.43377194</v>
      </c>
      <c r="X11" s="29" t="n">
        <f aca="false">+X6-X10</f>
        <v>4575773.49943422</v>
      </c>
      <c r="Y11" s="29" t="n">
        <f aca="false">+Y6-Y10</f>
        <v>4530015.76443988</v>
      </c>
      <c r="Z11" s="29" t="n">
        <f aca="false">+Z6-Z10</f>
        <v>4484715.60679548</v>
      </c>
      <c r="AA11" s="29" t="n">
        <f aca="false">+AA6-AA10</f>
        <v>4439868.45072753</v>
      </c>
      <c r="AB11" s="29" t="n">
        <f aca="false">+AB6-AB10</f>
        <v>4395469.76622025</v>
      </c>
    </row>
    <row r="12" customFormat="false" ht="12.8" hidden="false" customHeight="false" outlineLevel="0" collapsed="false">
      <c r="A12" s="30" t="s">
        <v>43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21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customFormat="false" ht="12.8" hidden="false" customHeight="false" outlineLevel="0" collapsed="false">
      <c r="A13" s="0" t="s">
        <v>44</v>
      </c>
      <c r="B13" s="24" t="n">
        <v>50584</v>
      </c>
      <c r="C13" s="24" t="n">
        <v>5409</v>
      </c>
      <c r="D13" s="24" t="n">
        <f aca="false">15277-C13</f>
        <v>9868</v>
      </c>
      <c r="E13" s="24" t="n">
        <f aca="false">21739-(D13+C13)</f>
        <v>6462</v>
      </c>
      <c r="F13" s="24" t="n">
        <f aca="false">(223045)-(E13+D13+C13)</f>
        <v>201306</v>
      </c>
      <c r="G13" s="25" t="n">
        <f aca="false">SUM(C13:F13)</f>
        <v>223045</v>
      </c>
      <c r="H13" s="24" t="n">
        <v>13041</v>
      </c>
      <c r="I13" s="24" t="n">
        <f aca="false">(29634)-H13</f>
        <v>16593</v>
      </c>
      <c r="J13" s="24" t="n">
        <f aca="false">(63676)-(I13+H13)</f>
        <v>34042</v>
      </c>
      <c r="K13" s="24" t="n">
        <f aca="false">(90297)-(J13+I13+H13)</f>
        <v>26621</v>
      </c>
      <c r="L13" s="25" t="n">
        <f aca="false">SUM(H13:K13)</f>
        <v>90297</v>
      </c>
      <c r="M13" s="24" t="n">
        <v>16009</v>
      </c>
      <c r="N13" s="21"/>
      <c r="O13" s="24" t="n">
        <f aca="false">B13</f>
        <v>50584</v>
      </c>
      <c r="P13" s="24" t="n">
        <f aca="false">G13</f>
        <v>223045</v>
      </c>
      <c r="Q13" s="24" t="n">
        <f aca="false">L13</f>
        <v>90297</v>
      </c>
      <c r="R13" s="24" t="n">
        <f aca="false">Q13*0.99</f>
        <v>89394.03</v>
      </c>
      <c r="S13" s="24" t="n">
        <f aca="false">R13*0.99</f>
        <v>88500.0897</v>
      </c>
      <c r="T13" s="24" t="n">
        <f aca="false">S13*0.99</f>
        <v>87615.088803</v>
      </c>
      <c r="U13" s="24" t="n">
        <f aca="false">T13*0.99</f>
        <v>86738.93791497</v>
      </c>
      <c r="V13" s="24" t="n">
        <f aca="false">U13*0.99</f>
        <v>85871.5485358203</v>
      </c>
      <c r="W13" s="24" t="n">
        <f aca="false">V13*0.99</f>
        <v>85012.8330504621</v>
      </c>
      <c r="X13" s="24" t="n">
        <f aca="false">W13*0.99</f>
        <v>84162.7047199575</v>
      </c>
      <c r="Y13" s="24" t="n">
        <f aca="false">X13*0.99</f>
        <v>83321.0776727579</v>
      </c>
      <c r="Z13" s="24" t="n">
        <f aca="false">Y13*0.99</f>
        <v>82487.8668960303</v>
      </c>
      <c r="AA13" s="24" t="n">
        <f aca="false">Z13*0.99</f>
        <v>81662.98822707</v>
      </c>
      <c r="AB13" s="24" t="n">
        <f aca="false">AA13*0.99</f>
        <v>80846.3583447993</v>
      </c>
    </row>
    <row r="14" customFormat="false" ht="12.8" hidden="false" customHeight="false" outlineLevel="0" collapsed="false">
      <c r="A14" s="0" t="s">
        <v>45</v>
      </c>
      <c r="B14" s="24" t="n">
        <v>75090</v>
      </c>
      <c r="C14" s="24" t="n">
        <v>32413</v>
      </c>
      <c r="D14" s="24" t="n">
        <f aca="false">48721-C14</f>
        <v>16308</v>
      </c>
      <c r="E14" s="24" t="n">
        <f aca="false">51454-(D14+C14)</f>
        <v>2733</v>
      </c>
      <c r="F14" s="24" t="n">
        <f aca="false">(69923)-(E14+D14+C14)</f>
        <v>18469</v>
      </c>
      <c r="G14" s="25" t="n">
        <f aca="false">SUM(C14:F14)</f>
        <v>69923</v>
      </c>
      <c r="H14" s="24" t="n">
        <v>11419</v>
      </c>
      <c r="I14" s="24" t="n">
        <f aca="false">(29325)-H14</f>
        <v>17906</v>
      </c>
      <c r="J14" s="24" t="n">
        <f aca="false">(34980)-(I14+H14)</f>
        <v>5655</v>
      </c>
      <c r="K14" s="24" t="n">
        <f aca="false">(57849)-(J14+I14+H14)</f>
        <v>22869</v>
      </c>
      <c r="L14" s="25" t="n">
        <f aca="false">SUM(H14:K14)</f>
        <v>57849</v>
      </c>
      <c r="M14" s="24" t="n">
        <v>17583</v>
      </c>
      <c r="N14" s="21"/>
      <c r="O14" s="24" t="n">
        <f aca="false">B14</f>
        <v>75090</v>
      </c>
      <c r="P14" s="24" t="n">
        <f aca="false">G14</f>
        <v>69923</v>
      </c>
      <c r="Q14" s="24" t="n">
        <f aca="false">L14</f>
        <v>57849</v>
      </c>
      <c r="R14" s="24" t="n">
        <f aca="false">Q14*0.99</f>
        <v>57270.51</v>
      </c>
      <c r="S14" s="24" t="n">
        <f aca="false">R14*0.99</f>
        <v>56697.8049</v>
      </c>
      <c r="T14" s="24" t="n">
        <f aca="false">S14*0.99</f>
        <v>56130.826851</v>
      </c>
      <c r="U14" s="24" t="n">
        <f aca="false">T14*0.99</f>
        <v>55569.51858249</v>
      </c>
      <c r="V14" s="24" t="n">
        <f aca="false">U14*0.99</f>
        <v>55013.8233966651</v>
      </c>
      <c r="W14" s="24" t="n">
        <f aca="false">V14*0.99</f>
        <v>54463.6851626985</v>
      </c>
      <c r="X14" s="24" t="n">
        <f aca="false">W14*0.99</f>
        <v>53919.0483110715</v>
      </c>
      <c r="Y14" s="24" t="n">
        <f aca="false">X14*0.99</f>
        <v>53379.8578279608</v>
      </c>
      <c r="Z14" s="24" t="n">
        <f aca="false">Y14*0.99</f>
        <v>52846.0592496811</v>
      </c>
      <c r="AA14" s="24" t="n">
        <f aca="false">Z14*0.99</f>
        <v>52317.5986571843</v>
      </c>
      <c r="AB14" s="24" t="n">
        <f aca="false">AA14*0.99</f>
        <v>51794.4226706125</v>
      </c>
    </row>
    <row r="15" customFormat="false" ht="12.8" hidden="false" customHeight="false" outlineLevel="0" collapsed="false">
      <c r="A15" s="0" t="s">
        <v>46</v>
      </c>
      <c r="B15" s="26" t="n">
        <f aca="false">+B13-B14</f>
        <v>-24506</v>
      </c>
      <c r="C15" s="26" t="n">
        <f aca="false">+C13-C14</f>
        <v>-27004</v>
      </c>
      <c r="D15" s="26" t="n">
        <f aca="false">+D13-D14</f>
        <v>-6440</v>
      </c>
      <c r="E15" s="26" t="n">
        <f aca="false">+E13-E14</f>
        <v>3729</v>
      </c>
      <c r="F15" s="26" t="n">
        <f aca="false">+F13-F14</f>
        <v>182837</v>
      </c>
      <c r="G15" s="27" t="n">
        <f aca="false">SUM(C15:F15)</f>
        <v>153122</v>
      </c>
      <c r="H15" s="26" t="n">
        <f aca="false">+H13-H14</f>
        <v>1622</v>
      </c>
      <c r="I15" s="26" t="n">
        <f aca="false">+I13-I14</f>
        <v>-1313</v>
      </c>
      <c r="J15" s="26" t="n">
        <f aca="false">+J13-J14</f>
        <v>28387</v>
      </c>
      <c r="K15" s="26" t="n">
        <f aca="false">+K13-K14</f>
        <v>3752</v>
      </c>
      <c r="L15" s="27" t="n">
        <f aca="false">SUM(H15:K15)</f>
        <v>32448</v>
      </c>
      <c r="M15" s="26" t="n">
        <f aca="false">+M13-M14</f>
        <v>-1574</v>
      </c>
      <c r="N15" s="21"/>
      <c r="O15" s="26" t="n">
        <f aca="false">+O13-O14</f>
        <v>-24506</v>
      </c>
      <c r="P15" s="26" t="n">
        <f aca="false">+P13-P14</f>
        <v>153122</v>
      </c>
      <c r="Q15" s="26" t="n">
        <f aca="false">+Q13-Q14</f>
        <v>32448</v>
      </c>
      <c r="R15" s="26" t="n">
        <f aca="false">+R13-R14</f>
        <v>32123.52</v>
      </c>
      <c r="S15" s="26" t="n">
        <f aca="false">+S13-S14</f>
        <v>31802.2848</v>
      </c>
      <c r="T15" s="26" t="n">
        <f aca="false">+T13-T14</f>
        <v>31484.261952</v>
      </c>
      <c r="U15" s="26" t="n">
        <f aca="false">+U13-U14</f>
        <v>31169.41933248</v>
      </c>
      <c r="V15" s="26" t="n">
        <f aca="false">+V13-V14</f>
        <v>30857.7251391552</v>
      </c>
      <c r="W15" s="26" t="n">
        <f aca="false">+W13-W14</f>
        <v>30549.1478877636</v>
      </c>
      <c r="X15" s="26" t="n">
        <f aca="false">+X13-X14</f>
        <v>30243.656408886</v>
      </c>
      <c r="Y15" s="26" t="n">
        <f aca="false">+Y13-Y14</f>
        <v>29941.2198447971</v>
      </c>
      <c r="Z15" s="26" t="n">
        <f aca="false">+Z13-Z14</f>
        <v>29641.8076463492</v>
      </c>
      <c r="AA15" s="26" t="n">
        <f aca="false">+AA13-AA14</f>
        <v>29345.3895698857</v>
      </c>
      <c r="AB15" s="26" t="n">
        <f aca="false">+AB13-AB14</f>
        <v>29051.9356741868</v>
      </c>
    </row>
    <row r="16" customFormat="false" ht="12.8" hidden="false" customHeight="false" outlineLevel="0" collapsed="false">
      <c r="A16" s="31" t="s">
        <v>47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2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 customFormat="false" ht="12.8" hidden="false" customHeight="false" outlineLevel="0" collapsed="false">
      <c r="A17" s="0" t="s">
        <v>48</v>
      </c>
      <c r="B17" s="24" t="n">
        <v>110628</v>
      </c>
      <c r="C17" s="24" t="n">
        <v>23062</v>
      </c>
      <c r="D17" s="24" t="n">
        <f aca="false">41435-C17</f>
        <v>18373</v>
      </c>
      <c r="E17" s="24" t="n">
        <f aca="false">65941-(D17+C17)</f>
        <v>24506</v>
      </c>
      <c r="F17" s="24" t="n">
        <f aca="false">(94754)-(E17+D17+C17)</f>
        <v>28813</v>
      </c>
      <c r="G17" s="25" t="n">
        <f aca="false">SUM(C17:F17)</f>
        <v>94754</v>
      </c>
      <c r="H17" s="24" t="n">
        <v>23100</v>
      </c>
      <c r="I17" s="24" t="n">
        <f aca="false">(41351)-H17</f>
        <v>18251</v>
      </c>
      <c r="J17" s="24" t="n">
        <f aca="false">(59515)-(I17+H17)</f>
        <v>18164</v>
      </c>
      <c r="K17" s="24" t="n">
        <f aca="false">(81254)-(J17+I17+H17)</f>
        <v>21739</v>
      </c>
      <c r="L17" s="25" t="n">
        <f aca="false">SUM(H17:K17)</f>
        <v>81254</v>
      </c>
      <c r="M17" s="24" t="n">
        <v>24123</v>
      </c>
      <c r="N17" s="21"/>
      <c r="O17" s="24" t="n">
        <f aca="false">B17</f>
        <v>110628</v>
      </c>
      <c r="P17" s="24" t="n">
        <f aca="false">G17</f>
        <v>94754</v>
      </c>
      <c r="Q17" s="24" t="n">
        <f aca="false">L17</f>
        <v>81254</v>
      </c>
      <c r="R17" s="24" t="n">
        <f aca="false">Q17*0.99</f>
        <v>80441.46</v>
      </c>
      <c r="S17" s="24" t="n">
        <f aca="false">R17*0.99</f>
        <v>79637.0454</v>
      </c>
      <c r="T17" s="24" t="n">
        <f aca="false">S17*0.99</f>
        <v>78840.674946</v>
      </c>
      <c r="U17" s="24" t="n">
        <f aca="false">T17*0.99</f>
        <v>78052.26819654</v>
      </c>
      <c r="V17" s="24" t="n">
        <f aca="false">U17*0.99</f>
        <v>77271.7455145746</v>
      </c>
      <c r="W17" s="24" t="n">
        <f aca="false">V17*0.99</f>
        <v>76499.0280594289</v>
      </c>
      <c r="X17" s="24" t="n">
        <f aca="false">W17*0.99</f>
        <v>75734.0377788346</v>
      </c>
      <c r="Y17" s="24" t="n">
        <f aca="false">X17*0.99</f>
        <v>74976.6974010462</v>
      </c>
      <c r="Z17" s="24" t="n">
        <f aca="false">Y17*0.99</f>
        <v>74226.9304270358</v>
      </c>
      <c r="AA17" s="24" t="n">
        <f aca="false">Z17*0.99</f>
        <v>73484.6611227654</v>
      </c>
      <c r="AB17" s="24" t="n">
        <f aca="false">AA17*0.99</f>
        <v>72749.8145115377</v>
      </c>
    </row>
    <row r="18" customFormat="false" ht="12.8" hidden="false" customHeight="false" outlineLevel="0" collapsed="false">
      <c r="A18" s="0" t="s">
        <v>49</v>
      </c>
      <c r="B18" s="24" t="n">
        <v>17036</v>
      </c>
      <c r="C18" s="24" t="n">
        <v>12025</v>
      </c>
      <c r="D18" s="24" t="n">
        <f aca="false">12725-C18</f>
        <v>700</v>
      </c>
      <c r="E18" s="24" t="n">
        <f aca="false">13183-(D18+C18)</f>
        <v>458</v>
      </c>
      <c r="F18" s="24" t="n">
        <f aca="false">(23217)-(E18+D18+C18)</f>
        <v>10034</v>
      </c>
      <c r="G18" s="25" t="n">
        <f aca="false">SUM(C18:F18)</f>
        <v>23217</v>
      </c>
      <c r="H18" s="24" t="n">
        <v>1664</v>
      </c>
      <c r="I18" s="24" t="n">
        <f aca="false">(3392)-H18</f>
        <v>1728</v>
      </c>
      <c r="J18" s="24" t="n">
        <f aca="false">(4211)-(I18+H18)</f>
        <v>819</v>
      </c>
      <c r="K18" s="24" t="n">
        <f aca="false">(2384)-(J18+I18+H18)</f>
        <v>-1827</v>
      </c>
      <c r="L18" s="25" t="n">
        <f aca="false">SUM(H18:K18)</f>
        <v>2384</v>
      </c>
      <c r="M18" s="24" t="n">
        <v>14</v>
      </c>
      <c r="N18" s="21"/>
      <c r="O18" s="24" t="n">
        <f aca="false">B18</f>
        <v>17036</v>
      </c>
      <c r="P18" s="24" t="n">
        <f aca="false">G18</f>
        <v>23217</v>
      </c>
      <c r="Q18" s="24" t="n">
        <f aca="false">L18</f>
        <v>2384</v>
      </c>
      <c r="R18" s="24" t="n">
        <f aca="false">Q18*0.99</f>
        <v>2360.16</v>
      </c>
      <c r="S18" s="24" t="n">
        <f aca="false">R18*0.99</f>
        <v>2336.5584</v>
      </c>
      <c r="T18" s="24" t="n">
        <f aca="false">S18*0.99</f>
        <v>2313.192816</v>
      </c>
      <c r="U18" s="24" t="n">
        <f aca="false">T18*0.99</f>
        <v>2290.06088784</v>
      </c>
      <c r="V18" s="24" t="n">
        <f aca="false">U18*0.99</f>
        <v>2267.1602789616</v>
      </c>
      <c r="W18" s="24" t="n">
        <f aca="false">V18*0.99</f>
        <v>2244.48867617198</v>
      </c>
      <c r="X18" s="24" t="n">
        <f aca="false">W18*0.99</f>
        <v>2222.04378941026</v>
      </c>
      <c r="Y18" s="24" t="n">
        <f aca="false">X18*0.99</f>
        <v>2199.82335151616</v>
      </c>
      <c r="Z18" s="24" t="n">
        <f aca="false">Y18*0.99</f>
        <v>2177.825118001</v>
      </c>
      <c r="AA18" s="24" t="n">
        <f aca="false">Z18*0.99</f>
        <v>2156.04686682099</v>
      </c>
      <c r="AB18" s="24" t="n">
        <f aca="false">AA18*0.99</f>
        <v>2134.48639815278</v>
      </c>
    </row>
    <row r="19" customFormat="false" ht="12.8" hidden="false" customHeight="false" outlineLevel="0" collapsed="false">
      <c r="A19" s="0" t="s">
        <v>50</v>
      </c>
      <c r="B19" s="26" t="n">
        <f aca="false">B17-B18</f>
        <v>93592</v>
      </c>
      <c r="C19" s="26" t="n">
        <f aca="false">C17-C18</f>
        <v>11037</v>
      </c>
      <c r="D19" s="26" t="n">
        <f aca="false">+D17-D18</f>
        <v>17673</v>
      </c>
      <c r="E19" s="26" t="n">
        <f aca="false">+E17-E18</f>
        <v>24048</v>
      </c>
      <c r="F19" s="26" t="n">
        <f aca="false">+F17-F18</f>
        <v>18779</v>
      </c>
      <c r="G19" s="27" t="n">
        <f aca="false">SUM(C19:F19)</f>
        <v>71537</v>
      </c>
      <c r="H19" s="26" t="n">
        <f aca="false">+H17-H18</f>
        <v>21436</v>
      </c>
      <c r="I19" s="26" t="n">
        <f aca="false">+I17-I18</f>
        <v>16523</v>
      </c>
      <c r="J19" s="26" t="n">
        <f aca="false">+J17-J18</f>
        <v>17345</v>
      </c>
      <c r="K19" s="26" t="n">
        <f aca="false">+K17-K18</f>
        <v>23566</v>
      </c>
      <c r="L19" s="27" t="n">
        <f aca="false">SUM(H19:K19)</f>
        <v>78870</v>
      </c>
      <c r="M19" s="26" t="n">
        <f aca="false">+M17-M18</f>
        <v>24109</v>
      </c>
      <c r="N19" s="21"/>
      <c r="O19" s="26" t="n">
        <f aca="false">+O17-O18</f>
        <v>93592</v>
      </c>
      <c r="P19" s="26" t="n">
        <f aca="false">+P17-P18</f>
        <v>71537</v>
      </c>
      <c r="Q19" s="26" t="n">
        <f aca="false">+Q17-Q18</f>
        <v>78870</v>
      </c>
      <c r="R19" s="26" t="n">
        <f aca="false">+R17-R18</f>
        <v>78081.3</v>
      </c>
      <c r="S19" s="26" t="n">
        <f aca="false">+S17-S18</f>
        <v>77300.487</v>
      </c>
      <c r="T19" s="26" t="n">
        <f aca="false">+T17-T18</f>
        <v>76527.48213</v>
      </c>
      <c r="U19" s="26" t="n">
        <f aca="false">+U17-U18</f>
        <v>75762.2073087</v>
      </c>
      <c r="V19" s="26" t="n">
        <f aca="false">+V17-V18</f>
        <v>75004.585235613</v>
      </c>
      <c r="W19" s="26" t="n">
        <f aca="false">+W17-W18</f>
        <v>74254.5393832569</v>
      </c>
      <c r="X19" s="26" t="n">
        <f aca="false">+X17-X18</f>
        <v>73511.9939894243</v>
      </c>
      <c r="Y19" s="26" t="n">
        <f aca="false">+Y17-Y18</f>
        <v>72776.8740495301</v>
      </c>
      <c r="Z19" s="26" t="n">
        <f aca="false">+Z17-Z18</f>
        <v>72049.1053090348</v>
      </c>
      <c r="AA19" s="26" t="n">
        <f aca="false">+AA17-AA18</f>
        <v>71328.6142559444</v>
      </c>
      <c r="AB19" s="26" t="n">
        <f aca="false">+AB17-AB18</f>
        <v>70615.328113385</v>
      </c>
    </row>
    <row r="20" customFormat="false" ht="12.8" hidden="false" customHeight="false" outlineLevel="0" collapsed="false">
      <c r="A20" s="32" t="s">
        <v>51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21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customFormat="false" ht="12.8" hidden="false" customHeight="false" outlineLevel="0" collapsed="false">
      <c r="A21" s="0" t="s">
        <v>52</v>
      </c>
      <c r="B21" s="29" t="n">
        <f aca="false">+B11+B15+B19</f>
        <v>4955394</v>
      </c>
      <c r="C21" s="29" t="n">
        <f aca="false">+C11+C15+C19</f>
        <v>1082101</v>
      </c>
      <c r="D21" s="29" t="n">
        <f aca="false">+D11+D15+D19</f>
        <v>1139482</v>
      </c>
      <c r="E21" s="29" t="n">
        <f aca="false">+E11+E15+E19</f>
        <v>1275678</v>
      </c>
      <c r="F21" s="29" t="n">
        <f aca="false">+F11+F15+F19</f>
        <v>1552708</v>
      </c>
      <c r="G21" s="33" t="n">
        <f aca="false">SUM(C21:F21)</f>
        <v>5049969</v>
      </c>
      <c r="H21" s="29" t="n">
        <f aca="false">+H11+H15+H19</f>
        <v>1232271</v>
      </c>
      <c r="I21" s="29" t="n">
        <f aca="false">+I11+I15+I19</f>
        <v>1170275</v>
      </c>
      <c r="J21" s="29" t="n">
        <f aca="false">+J11+J15+J19</f>
        <v>1462118</v>
      </c>
      <c r="K21" s="29" t="n">
        <f aca="false">+K11+K15+K19</f>
        <v>1155938</v>
      </c>
      <c r="L21" s="33" t="n">
        <f aca="false">SUM(H21:K21)</f>
        <v>5020602</v>
      </c>
      <c r="M21" s="29" t="n">
        <f aca="false">+M11+M15+M19</f>
        <v>1181312</v>
      </c>
      <c r="N21" s="21"/>
      <c r="O21" s="29" t="n">
        <f aca="false">+O11+O15+O19</f>
        <v>4955394</v>
      </c>
      <c r="P21" s="29" t="n">
        <f aca="false">+P11+P15+P19</f>
        <v>5049969</v>
      </c>
      <c r="Q21" s="29" t="n">
        <f aca="false">+Q11+Q15+Q19</f>
        <v>5020602</v>
      </c>
      <c r="R21" s="29" t="n">
        <f aca="false">+R11+R15+R19</f>
        <v>4970395.98</v>
      </c>
      <c r="S21" s="29" t="n">
        <f aca="false">+S11+S15+S19</f>
        <v>4920692.0202</v>
      </c>
      <c r="T21" s="29" t="n">
        <f aca="false">+T11+T15+T19</f>
        <v>4871485.099998</v>
      </c>
      <c r="U21" s="29" t="n">
        <f aca="false">+U11+U15+U19</f>
        <v>4822770.24899802</v>
      </c>
      <c r="V21" s="29" t="n">
        <f aca="false">+V11+V15+V19</f>
        <v>4774542.54650804</v>
      </c>
      <c r="W21" s="29" t="n">
        <f aca="false">+W11+W15+W19</f>
        <v>4726797.12104296</v>
      </c>
      <c r="X21" s="29" t="n">
        <f aca="false">+X11+X15+X19</f>
        <v>4679529.14983253</v>
      </c>
      <c r="Y21" s="29" t="n">
        <f aca="false">+Y11+Y15+Y19</f>
        <v>4632733.85833421</v>
      </c>
      <c r="Z21" s="29" t="n">
        <f aca="false">+Z11+Z15+Z19</f>
        <v>4586406.51975086</v>
      </c>
      <c r="AA21" s="29" t="n">
        <f aca="false">+AA11+AA15+AA19</f>
        <v>4540542.45455336</v>
      </c>
      <c r="AB21" s="29" t="n">
        <f aca="false">+AB11+AB15+AB19</f>
        <v>4495137.03000782</v>
      </c>
    </row>
    <row r="22" customFormat="false" ht="12.8" hidden="false" customHeight="false" outlineLevel="0" collapsed="false">
      <c r="A22" s="0" t="s">
        <v>53</v>
      </c>
      <c r="B22" s="24" t="n">
        <v>213511</v>
      </c>
      <c r="C22" s="24" t="n">
        <v>48943</v>
      </c>
      <c r="D22" s="24" t="n">
        <f aca="false">97583-C22</f>
        <v>48640</v>
      </c>
      <c r="E22" s="24" t="n">
        <f aca="false">157323-(D22+C22)</f>
        <v>59740</v>
      </c>
      <c r="F22" s="24" t="n">
        <f aca="false">178278-(E22+D22+C22)</f>
        <v>20955</v>
      </c>
      <c r="G22" s="27" t="n">
        <f aca="false">SUM(C22:F22)</f>
        <v>178278</v>
      </c>
      <c r="H22" s="24" t="n">
        <v>59133</v>
      </c>
      <c r="I22" s="24" t="n">
        <f aca="false">(117939)-H22</f>
        <v>58806</v>
      </c>
      <c r="J22" s="24" t="n">
        <f aca="false">(204430)-(I22+H22)</f>
        <v>86491</v>
      </c>
      <c r="K22" s="24" t="n">
        <f aca="false">(172303)-(J22+I22+H22)</f>
        <v>-32127</v>
      </c>
      <c r="L22" s="27" t="n">
        <f aca="false">SUM(H22:K22)</f>
        <v>172303</v>
      </c>
      <c r="M22" s="24" t="n">
        <v>47227</v>
      </c>
      <c r="N22" s="21"/>
      <c r="O22" s="24" t="n">
        <f aca="false">B22</f>
        <v>213511</v>
      </c>
      <c r="P22" s="24" t="n">
        <f aca="false">G22</f>
        <v>178278</v>
      </c>
      <c r="Q22" s="24" t="n">
        <f aca="false">L22</f>
        <v>172303</v>
      </c>
      <c r="R22" s="24" t="n">
        <f aca="false">Q22*0.99</f>
        <v>170579.97</v>
      </c>
      <c r="S22" s="24" t="n">
        <f aca="false">R22*0.99</f>
        <v>168874.1703</v>
      </c>
      <c r="T22" s="24" t="n">
        <f aca="false">S22*0.99</f>
        <v>167185.428597</v>
      </c>
      <c r="U22" s="24" t="n">
        <f aca="false">T22*0.99</f>
        <v>165513.57431103</v>
      </c>
      <c r="V22" s="24" t="n">
        <f aca="false">U22*0.99</f>
        <v>163858.43856792</v>
      </c>
      <c r="W22" s="24" t="n">
        <f aca="false">V22*0.99</f>
        <v>162219.854182241</v>
      </c>
      <c r="X22" s="24" t="n">
        <f aca="false">W22*0.99</f>
        <v>160597.655640418</v>
      </c>
      <c r="Y22" s="24" t="n">
        <f aca="false">X22*0.99</f>
        <v>158991.679084014</v>
      </c>
      <c r="Z22" s="24" t="n">
        <f aca="false">Y22*0.99</f>
        <v>157401.762293174</v>
      </c>
      <c r="AA22" s="24" t="n">
        <f aca="false">Z22*0.99</f>
        <v>155827.744670242</v>
      </c>
      <c r="AB22" s="24" t="n">
        <f aca="false">AA22*0.99</f>
        <v>154269.46722354</v>
      </c>
    </row>
    <row r="23" customFormat="false" ht="12.8" hidden="false" customHeight="false" outlineLevel="0" collapsed="false">
      <c r="A23" s="0" t="s">
        <v>54</v>
      </c>
      <c r="B23" s="34" t="n">
        <f aca="false">+B21-B22</f>
        <v>4741883</v>
      </c>
      <c r="C23" s="34" t="n">
        <f aca="false">+C21-C22</f>
        <v>1033158</v>
      </c>
      <c r="D23" s="34" t="n">
        <f aca="false">+D21-D22</f>
        <v>1090842</v>
      </c>
      <c r="E23" s="34" t="n">
        <f aca="false">+E21-E22</f>
        <v>1215938</v>
      </c>
      <c r="F23" s="34" t="n">
        <f aca="false">+F21-F22</f>
        <v>1531753</v>
      </c>
      <c r="G23" s="35" t="n">
        <f aca="false">SUM(C23:F23)</f>
        <v>4871691</v>
      </c>
      <c r="H23" s="34" t="n">
        <f aca="false">+H21-H22</f>
        <v>1173138</v>
      </c>
      <c r="I23" s="34" t="n">
        <f aca="false">+I21-I22</f>
        <v>1111469</v>
      </c>
      <c r="J23" s="34" t="n">
        <f aca="false">+J21-J22</f>
        <v>1375627</v>
      </c>
      <c r="K23" s="34" t="n">
        <f aca="false">+K21-K22</f>
        <v>1188065</v>
      </c>
      <c r="L23" s="35" t="n">
        <f aca="false">SUM(H23:K23)</f>
        <v>4848299</v>
      </c>
      <c r="M23" s="34" t="n">
        <f aca="false">+M21-M22</f>
        <v>1134085</v>
      </c>
      <c r="N23" s="21"/>
      <c r="O23" s="34" t="n">
        <f aca="false">+O21-O22</f>
        <v>4741883</v>
      </c>
      <c r="P23" s="34" t="n">
        <f aca="false">+P21-P22</f>
        <v>4871691</v>
      </c>
      <c r="Q23" s="34" t="n">
        <f aca="false">+Q21-Q22</f>
        <v>4848299</v>
      </c>
      <c r="R23" s="34" t="n">
        <f aca="false">+R21-R22*(1+C26)</f>
        <v>4803227.6094</v>
      </c>
      <c r="S23" s="34" t="n">
        <f aca="false">+S21-S22*(1+D26)</f>
        <v>4755195.333306</v>
      </c>
      <c r="T23" s="34" t="n">
        <f aca="false">+T21-T22*(1+E26)</f>
        <v>4707643.37997294</v>
      </c>
      <c r="U23" s="34" t="n">
        <f aca="false">+U21-U22*(1+F26)</f>
        <v>4660566.94617321</v>
      </c>
      <c r="V23" s="34" t="n">
        <f aca="false">+V21-V22*(1+G26)</f>
        <v>4613961.27671148</v>
      </c>
      <c r="W23" s="34" t="n">
        <f aca="false">+W21-W22*(1+H26)</f>
        <v>4567821.66394437</v>
      </c>
      <c r="X23" s="34" t="n">
        <f aca="false">+X21-X22*(1+I26)</f>
        <v>4522143.44730492</v>
      </c>
      <c r="Y23" s="34" t="n">
        <f aca="false">+Y21-Y22*(1+J26)</f>
        <v>4476922.01283188</v>
      </c>
      <c r="Z23" s="34" t="n">
        <f aca="false">+Z21-Z22*(1+K26)</f>
        <v>4432152.79270355</v>
      </c>
      <c r="AA23" s="34" t="n">
        <f aca="false">+AA21-AA22*(1+L26)</f>
        <v>4387831.26477652</v>
      </c>
      <c r="AB23" s="34" t="n">
        <f aca="false">+AB21-AB22*(1+M26)</f>
        <v>4343952.95212875</v>
      </c>
    </row>
    <row r="24" customFormat="false" ht="12.8" hidden="false" customHeight="false" outlineLevel="0" collapsed="false">
      <c r="A24" s="6"/>
      <c r="B24" s="6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customFormat="false" ht="12.8" hidden="false" customHeight="false" outlineLevel="0" collapsed="false">
      <c r="A25" s="0" t="s">
        <v>55</v>
      </c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</row>
    <row r="26" customFormat="false" ht="12.8" hidden="false" customHeight="false" outlineLevel="0" collapsed="false">
      <c r="A26" s="0" t="s">
        <v>56</v>
      </c>
      <c r="B26" s="39"/>
      <c r="C26" s="40" t="n">
        <v>-0.02</v>
      </c>
      <c r="D26" s="40" t="n">
        <v>-0.02</v>
      </c>
      <c r="E26" s="40" t="n">
        <v>-0.02</v>
      </c>
      <c r="F26" s="40" t="n">
        <v>-0.02</v>
      </c>
      <c r="G26" s="40" t="n">
        <v>-0.02</v>
      </c>
      <c r="H26" s="40" t="n">
        <v>-0.02</v>
      </c>
      <c r="I26" s="40" t="n">
        <v>-0.02</v>
      </c>
      <c r="J26" s="40" t="n">
        <v>-0.02</v>
      </c>
      <c r="K26" s="40" t="n">
        <v>-0.02</v>
      </c>
      <c r="L26" s="40" t="n">
        <v>-0.02</v>
      </c>
      <c r="M26" s="40" t="n">
        <v>-0.02</v>
      </c>
      <c r="N26" s="40" t="n">
        <v>-0.02</v>
      </c>
      <c r="O26" s="40" t="n">
        <v>-0.02</v>
      </c>
      <c r="P26" s="40" t="n">
        <v>-0.02</v>
      </c>
      <c r="Q26" s="40" t="n">
        <v>-0.02</v>
      </c>
      <c r="R26" s="40" t="n">
        <v>-0.02</v>
      </c>
      <c r="S26" s="40" t="n">
        <v>-0.02</v>
      </c>
      <c r="T26" s="40" t="n">
        <v>-0.02</v>
      </c>
      <c r="U26" s="40" t="n">
        <v>-0.02</v>
      </c>
      <c r="V26" s="40" t="n">
        <v>-0.02</v>
      </c>
      <c r="W26" s="40" t="n">
        <v>-0.02</v>
      </c>
      <c r="X26" s="40" t="n">
        <v>-0.02</v>
      </c>
      <c r="Y26" s="40" t="n">
        <v>-0.02</v>
      </c>
      <c r="Z26" s="40" t="n">
        <v>-0.02</v>
      </c>
      <c r="AA26" s="40" t="n">
        <v>-0.02</v>
      </c>
      <c r="AB26" s="40" t="n">
        <v>-0.02</v>
      </c>
    </row>
    <row r="27" customFormat="false" ht="12.8" hidden="false" customHeight="false" outlineLevel="0" collapsed="false">
      <c r="A27" s="0" t="s">
        <v>57</v>
      </c>
      <c r="B27" s="39"/>
      <c r="C27" s="41" t="n">
        <v>0.06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</row>
    <row r="28" customFormat="false" ht="12.8" hidden="false" customHeight="false" outlineLevel="0" collapsed="false">
      <c r="B28" s="39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S28" s="43"/>
    </row>
    <row r="29" customFormat="false" ht="12.8" hidden="false" customHeight="false" outlineLevel="0" collapsed="false">
      <c r="A29" s="0" t="s">
        <v>58</v>
      </c>
      <c r="B29" s="39"/>
      <c r="C29" s="16" t="n">
        <f aca="false">NPV(C27,R23:AB23)</f>
        <v>36253868.3655881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</row>
    <row r="30" customFormat="false" ht="12.8" hidden="false" customHeight="false" outlineLevel="0" collapsed="false">
      <c r="A30" s="0" t="s">
        <v>18</v>
      </c>
      <c r="B30" s="39"/>
      <c r="C30" s="16" t="n">
        <f aca="false">+Опис!E7</f>
        <v>3923812.1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</row>
    <row r="31" customFormat="false" ht="12.8" hidden="false" customHeight="false" outlineLevel="0" collapsed="false">
      <c r="A31" s="0" t="s">
        <v>59</v>
      </c>
      <c r="B31" s="39"/>
      <c r="C31" s="16" t="n">
        <f aca="false">C29+C30</f>
        <v>40177680.4655881</v>
      </c>
    </row>
    <row r="32" customFormat="false" ht="12.8" hidden="false" customHeight="false" outlineLevel="0" collapsed="false">
      <c r="A32" s="0" t="s">
        <v>60</v>
      </c>
      <c r="B32" s="39"/>
      <c r="C32" s="16" t="n">
        <f aca="false">C31/(Опис!E6)</f>
        <v>419.221535015242</v>
      </c>
      <c r="D32" s="1" t="s">
        <v>61</v>
      </c>
    </row>
    <row r="33" customFormat="false" ht="12.8" hidden="false" customHeight="false" outlineLevel="0" collapsed="false">
      <c r="A33" s="0" t="s">
        <v>62</v>
      </c>
      <c r="B33" s="39"/>
      <c r="C33" s="44" t="n">
        <f aca="false">Опис!E5</f>
        <v>374.14</v>
      </c>
      <c r="D33" s="45" t="n">
        <f aca="false">C32/C33-1</f>
        <v>0.120493759061426</v>
      </c>
    </row>
    <row r="34" customFormat="false" ht="12.8" hidden="false" customHeight="false" outlineLevel="0" collapsed="false">
      <c r="A34" s="0" t="s">
        <v>63</v>
      </c>
      <c r="B34" s="39"/>
      <c r="C34" s="43" t="n">
        <f aca="false">E35/C33-1</f>
        <v>0.637301165447347</v>
      </c>
      <c r="D34" s="1" t="s">
        <v>64</v>
      </c>
      <c r="E34" s="1" t="s">
        <v>65</v>
      </c>
      <c r="F34" s="1" t="s">
        <v>66</v>
      </c>
    </row>
    <row r="35" customFormat="false" ht="12.8" hidden="false" customHeight="false" outlineLevel="0" collapsed="false">
      <c r="A35" s="0" t="s">
        <v>67</v>
      </c>
      <c r="B35" s="39"/>
      <c r="C35" s="46" t="n">
        <f aca="false">C32*1.015</f>
        <v>425.509858040471</v>
      </c>
      <c r="D35" s="47" t="n">
        <f aca="false">C33*0.05*10</f>
        <v>187.07</v>
      </c>
      <c r="E35" s="47" t="n">
        <f aca="false">C35+D35</f>
        <v>612.579858040471</v>
      </c>
    </row>
    <row r="36" customFormat="false" ht="12.8" hidden="false" customHeight="false" outlineLevel="0" collapsed="false">
      <c r="A36" s="0" t="s">
        <v>68</v>
      </c>
      <c r="B36" s="39"/>
      <c r="C36" s="46" t="n">
        <f aca="false">C32-C35</f>
        <v>-6.28832302522858</v>
      </c>
    </row>
    <row r="37" customFormat="false" ht="12.8" hidden="false" customHeight="false" outlineLevel="0" collapsed="false">
      <c r="B37" s="48" t="s">
        <v>69</v>
      </c>
      <c r="G37" s="48" t="s">
        <v>69</v>
      </c>
      <c r="L37" s="48" t="s">
        <v>69</v>
      </c>
    </row>
    <row r="38" customFormat="false" ht="12.8" hidden="false" customHeight="false" outlineLevel="0" collapsed="false">
      <c r="A38" s="0" t="s">
        <v>70</v>
      </c>
      <c r="B38" s="49" t="n">
        <f aca="false">B6/B4</f>
        <v>0.520469878088807</v>
      </c>
      <c r="C38" s="45" t="n">
        <f aca="false">C6/C4</f>
        <v>0.487377172283493</v>
      </c>
      <c r="D38" s="45" t="n">
        <f aca="false">D6/D4</f>
        <v>0.515391931444821</v>
      </c>
      <c r="E38" s="45" t="n">
        <f aca="false">E6/E4</f>
        <v>0.508838747456985</v>
      </c>
      <c r="F38" s="45" t="n">
        <f aca="false">F6/F4</f>
        <v>0.487176588963799</v>
      </c>
      <c r="G38" s="49" t="n">
        <f aca="false">G6/G4</f>
        <v>0.499072188012507</v>
      </c>
      <c r="H38" s="45" t="n">
        <f aca="false">H6/H4</f>
        <v>0.510323067221479</v>
      </c>
      <c r="I38" s="45" t="n">
        <f aca="false">I6/I4</f>
        <v>0.488738130855081</v>
      </c>
      <c r="J38" s="45" t="n">
        <f aca="false">J6/J4</f>
        <v>0.528084219349789</v>
      </c>
      <c r="K38" s="45" t="n">
        <f aca="false">K6/K4</f>
        <v>0.463827874157623</v>
      </c>
      <c r="L38" s="49" t="n">
        <f aca="false">L6/L4</f>
        <v>0.498083183078661</v>
      </c>
      <c r="M38" s="45" t="n">
        <f aca="false">M6/M4</f>
        <v>0.479334551918192</v>
      </c>
    </row>
    <row r="39" customFormat="false" ht="12.8" hidden="false" customHeight="false" outlineLevel="0" collapsed="false">
      <c r="A39" s="0" t="s">
        <v>71</v>
      </c>
      <c r="B39" s="49" t="n">
        <f aca="false">B11/B4</f>
        <v>0.450745047697923</v>
      </c>
      <c r="C39" s="45" t="n">
        <f aca="false">C11/C4</f>
        <v>0.419202564230798</v>
      </c>
      <c r="D39" s="45" t="n">
        <f aca="false">D11/D4</f>
        <v>0.451626216079469</v>
      </c>
      <c r="E39" s="45" t="n">
        <f aca="false">E11/E4</f>
        <v>0.444224885330694</v>
      </c>
      <c r="F39" s="45" t="n">
        <f aca="false">F11/F4</f>
        <v>0.427771667170079</v>
      </c>
      <c r="G39" s="49" t="n">
        <f aca="false">G11/G4</f>
        <v>0.435292217926212</v>
      </c>
      <c r="H39" s="45" t="n">
        <f aca="false">H11/H4</f>
        <v>0.450138368038882</v>
      </c>
      <c r="I39" s="45" t="n">
        <f aca="false">I11/I4</f>
        <v>0.427058138012986</v>
      </c>
      <c r="J39" s="45" t="n">
        <f aca="false">J11/J4</f>
        <v>0.474144253889953</v>
      </c>
      <c r="K39" s="45" t="n">
        <f aca="false">K11/K4</f>
        <v>0.397646577167824</v>
      </c>
      <c r="L39" s="49" t="n">
        <f aca="false">L11/L4</f>
        <v>0.437683657807347</v>
      </c>
      <c r="M39" s="45" t="n">
        <f aca="false">M11/M4</f>
        <v>0.416949244021618</v>
      </c>
    </row>
    <row r="40" customFormat="false" ht="12.8" hidden="false" customHeight="false" outlineLevel="0" collapsed="false">
      <c r="A40" s="0" t="s">
        <v>72</v>
      </c>
      <c r="B40" s="49" t="n">
        <f aca="false">B23/B4</f>
        <v>0.437422339937018</v>
      </c>
      <c r="C40" s="45" t="n">
        <f aca="false">C23/C4</f>
        <v>0.394422278816578</v>
      </c>
      <c r="D40" s="45" t="n">
        <f aca="false">D23/D4</f>
        <v>0.436652587151028</v>
      </c>
      <c r="E40" s="45" t="n">
        <f aca="false">E23/E4</f>
        <v>0.432846771193575</v>
      </c>
      <c r="F40" s="45" t="n">
        <f aca="false">F23/F4</f>
        <v>0.484971071180031</v>
      </c>
      <c r="G40" s="49" t="n">
        <f aca="false">G23/G4</f>
        <v>0.439476257575402</v>
      </c>
      <c r="H40" s="45" t="n">
        <f aca="false">H23/H4</f>
        <v>0.436709185895618</v>
      </c>
      <c r="I40" s="45" t="n">
        <f aca="false">I23/I4</f>
        <v>0.410939541583509</v>
      </c>
      <c r="J40" s="45" t="n">
        <f aca="false">J23/J4</f>
        <v>0.460499918486821</v>
      </c>
      <c r="K40" s="45" t="n">
        <f aca="false">K23/K4</f>
        <v>0.418590828359316</v>
      </c>
      <c r="L40" s="49" t="n">
        <f aca="false">L23/L4</f>
        <v>0.4322465843214</v>
      </c>
      <c r="M40" s="45" t="n">
        <f aca="false">M23/M4</f>
        <v>0.408064608985384</v>
      </c>
    </row>
    <row r="41" customFormat="false" ht="12.8" hidden="false" customHeight="false" outlineLevel="0" collapsed="false">
      <c r="A41" s="0" t="s">
        <v>73</v>
      </c>
      <c r="B41" s="49" t="n">
        <f aca="false">B22/B21</f>
        <v>0.0430865840334795</v>
      </c>
      <c r="C41" s="45" t="n">
        <f aca="false">C22/C21</f>
        <v>0.0452296042606004</v>
      </c>
      <c r="D41" s="45" t="n">
        <f aca="false">D22/D21</f>
        <v>0.042686062614416</v>
      </c>
      <c r="E41" s="45" t="n">
        <f aca="false">E22/E21</f>
        <v>0.0468299994199163</v>
      </c>
      <c r="F41" s="45" t="n">
        <f aca="false">F22/F21</f>
        <v>0.0134957764112763</v>
      </c>
      <c r="G41" s="49" t="n">
        <f aca="false">G22/G21</f>
        <v>0.0353027909676277</v>
      </c>
      <c r="H41" s="45" t="n">
        <f aca="false">H22/H21</f>
        <v>0.0479870093510275</v>
      </c>
      <c r="I41" s="45" t="n">
        <f aca="false">I22/I21</f>
        <v>0.0502497276281216</v>
      </c>
      <c r="J41" s="45" t="n">
        <f aca="false">J22/J21</f>
        <v>0.059154596277455</v>
      </c>
      <c r="K41" s="45" t="n">
        <f aca="false">K22/K21</f>
        <v>-0.0277930131200808</v>
      </c>
      <c r="L41" s="49" t="n">
        <f aca="false">L22/L21</f>
        <v>0.0343191912045607</v>
      </c>
      <c r="M41" s="45" t="n">
        <f aca="false">M22/M21</f>
        <v>0.0399784307617293</v>
      </c>
    </row>
    <row r="42" customFormat="false" ht="12.8" hidden="false" customHeight="false" outlineLevel="0" collapsed="false">
      <c r="A42" s="50" t="s">
        <v>74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</row>
    <row r="43" customFormat="false" ht="12.8" hidden="false" customHeight="false" outlineLevel="0" collapsed="false">
      <c r="A43" s="51"/>
      <c r="B43" s="48" t="s">
        <v>69</v>
      </c>
      <c r="C43" s="45"/>
      <c r="D43" s="45"/>
      <c r="E43" s="45"/>
      <c r="F43" s="45"/>
      <c r="G43" s="48" t="s">
        <v>69</v>
      </c>
      <c r="H43" s="45"/>
      <c r="I43" s="45"/>
      <c r="J43" s="45"/>
      <c r="K43" s="45"/>
      <c r="L43" s="48" t="s">
        <v>69</v>
      </c>
      <c r="M43" s="45"/>
    </row>
    <row r="44" customFormat="false" ht="12.8" hidden="false" customHeight="false" outlineLevel="0" collapsed="false">
      <c r="A44" s="52" t="s">
        <v>75</v>
      </c>
      <c r="B44" s="49" t="n">
        <f aca="false">B11/SUM(B11,B15,B19)</f>
        <v>0.986058424415899</v>
      </c>
      <c r="C44" s="53" t="n">
        <f aca="false">C11/SUM(C11,C15,C19)</f>
        <v>1.01475555424124</v>
      </c>
      <c r="D44" s="53" t="n">
        <f aca="false">D11/SUM(D11,D15,D19)</f>
        <v>0.990142011896634</v>
      </c>
      <c r="E44" s="53" t="n">
        <f aca="false">E11/SUM(E11,E15,E19)</f>
        <v>0.97822569645318</v>
      </c>
      <c r="F44" s="53" t="n">
        <f aca="false">F11/SUM(F11,F15,F19)</f>
        <v>0.870152018280321</v>
      </c>
      <c r="G44" s="49" t="n">
        <f aca="false">G11/SUM(G11,G15,G19)</f>
        <v>0.955512796217165</v>
      </c>
      <c r="H44" s="53" t="n">
        <f aca="false">H11/SUM(H11,H15,H19)</f>
        <v>0.981288206896048</v>
      </c>
      <c r="I44" s="53" t="n">
        <f aca="false">I11/SUM(I11,I15,I19)</f>
        <v>0.987003054837538</v>
      </c>
      <c r="J44" s="53" t="n">
        <f aca="false">J11/SUM(J11,J15,J19)</f>
        <v>0.968722086726242</v>
      </c>
      <c r="K44" s="53" t="n">
        <f aca="false">K11/SUM(K11,K15,K19)</f>
        <v>0.976367244610005</v>
      </c>
      <c r="L44" s="49" t="n">
        <f aca="false">L11/SUM(L11,L15,L19)</f>
        <v>0.977827758503861</v>
      </c>
      <c r="M44" s="53" t="n">
        <f aca="false">M11/SUM(M11,M15,M19)</f>
        <v>0.98092375257341</v>
      </c>
    </row>
    <row r="45" customFormat="false" ht="12.8" hidden="false" customHeight="false" outlineLevel="0" collapsed="false">
      <c r="A45" s="54" t="s">
        <v>76</v>
      </c>
      <c r="B45" s="49" t="n">
        <f aca="false">B15/SUM(B11,B15,B19)</f>
        <v>-0.00494531817248033</v>
      </c>
      <c r="C45" s="53" t="n">
        <f aca="false">C15/SUM(C11,C15,C19)</f>
        <v>-0.0249551566813079</v>
      </c>
      <c r="D45" s="53" t="n">
        <f aca="false">D15/SUM(D11,D15,D19)</f>
        <v>-0.00565169085602054</v>
      </c>
      <c r="E45" s="53" t="n">
        <f aca="false">E15/SUM(E11,E15,E19)</f>
        <v>0.00292315145357998</v>
      </c>
      <c r="F45" s="53" t="n">
        <f aca="false">F15/SUM(F11,F15,F19)</f>
        <v>0.117753627855334</v>
      </c>
      <c r="G45" s="49" t="n">
        <f aca="false">G15/SUM(G11,G15,G19)</f>
        <v>0.0303213742500201</v>
      </c>
      <c r="H45" s="53" t="n">
        <f aca="false">H15/SUM(H11,H15,H19)</f>
        <v>0.00131626890513532</v>
      </c>
      <c r="I45" s="53" t="n">
        <f aca="false">I15/SUM(I11,I15,I19)</f>
        <v>-0.00112195851402448</v>
      </c>
      <c r="J45" s="53" t="n">
        <f aca="false">J15/SUM(J11,J15,J19)</f>
        <v>0.0194149856577923</v>
      </c>
      <c r="K45" s="53" t="n">
        <f aca="false">K15/SUM(K11,K15,K19)</f>
        <v>0.00324584882580208</v>
      </c>
      <c r="L45" s="49" t="n">
        <f aca="false">L15/SUM(L11,L15,L19)</f>
        <v>0.00646296997850059</v>
      </c>
      <c r="M45" s="53" t="n">
        <f aca="false">M15/SUM(M11,M15,M19)</f>
        <v>-0.00133241683822733</v>
      </c>
    </row>
    <row r="46" customFormat="false" ht="12.8" hidden="false" customHeight="false" outlineLevel="0" collapsed="false">
      <c r="A46" s="55" t="s">
        <v>77</v>
      </c>
      <c r="B46" s="49" t="n">
        <f aca="false">B19/SUM(B11,B15,B19)</f>
        <v>0.0188868937565812</v>
      </c>
      <c r="C46" s="53" t="n">
        <f aca="false">C19/SUM(C11,C15,C19)</f>
        <v>0.010199602440068</v>
      </c>
      <c r="D46" s="53" t="n">
        <f aca="false">D19/SUM(D11,D15,D19)</f>
        <v>0.0155096789593868</v>
      </c>
      <c r="E46" s="53" t="n">
        <f aca="false">E19/SUM(E11,E15,E19)</f>
        <v>0.0188511520932398</v>
      </c>
      <c r="F46" s="53" t="n">
        <f aca="false">F19/SUM(F11,F15,F19)</f>
        <v>0.0120943538643454</v>
      </c>
      <c r="G46" s="49" t="n">
        <f aca="false">G19/SUM(G11,G15,G19)</f>
        <v>0.014165829532815</v>
      </c>
      <c r="H46" s="53" t="n">
        <f aca="false">H19/SUM(H11,H15,H19)</f>
        <v>0.0173955241988167</v>
      </c>
      <c r="I46" s="53" t="n">
        <f aca="false">I19/SUM(I11,I15,I19)</f>
        <v>0.0141189036764863</v>
      </c>
      <c r="J46" s="53" t="n">
        <f aca="false">J19/SUM(J11,J15,J19)</f>
        <v>0.0118629276159653</v>
      </c>
      <c r="K46" s="53" t="n">
        <f aca="false">K19/SUM(K11,K15,K19)</f>
        <v>0.0203869065641929</v>
      </c>
      <c r="L46" s="49" t="n">
        <f aca="false">L19/SUM(L11,L15,L19)</f>
        <v>0.0157092715176387</v>
      </c>
      <c r="M46" s="53" t="n">
        <f aca="false">M19/SUM(M11,M15,M19)</f>
        <v>0.0204086642648174</v>
      </c>
    </row>
    <row r="47" customFormat="false" ht="12.8" hidden="false" customHeight="false" outlineLevel="0" collapsed="false">
      <c r="G47" s="42"/>
      <c r="L47" s="19"/>
    </row>
    <row r="48" customFormat="false" ht="12.8" hidden="false" customHeight="false" outlineLevel="0" collapsed="false">
      <c r="A48" s="0" t="s">
        <v>78</v>
      </c>
      <c r="F48" s="45"/>
      <c r="G48" s="49" t="n">
        <f aca="false">(G6-B6)/B6</f>
        <v>-0.0194670091831835</v>
      </c>
      <c r="H48" s="45" t="n">
        <f aca="false">(H6-C6)/H6</f>
        <v>0.0687452220750346</v>
      </c>
      <c r="I48" s="45" t="n">
        <f aca="false">(I6-D6)/I6</f>
        <v>0.0259802056296624</v>
      </c>
      <c r="J48" s="45" t="n">
        <f aca="false">(J6-E6)/J6</f>
        <v>0.0938854580423171</v>
      </c>
      <c r="K48" s="45" t="n">
        <f aca="false">(K6-F6)/K6</f>
        <v>-0.168831691682005</v>
      </c>
      <c r="L48" s="49" t="n">
        <f aca="false">(L6-G6)/L6</f>
        <v>0.00974286330027658</v>
      </c>
      <c r="M48" s="45" t="n">
        <f aca="false">(M6-H6)/M6</f>
        <v>-0.0290739004486708</v>
      </c>
    </row>
    <row r="49" customFormat="false" ht="12.8" hidden="false" customHeight="false" outlineLevel="0" collapsed="false">
      <c r="A49" s="0" t="s">
        <v>79</v>
      </c>
      <c r="F49" s="45"/>
      <c r="G49" s="49" t="n">
        <f aca="false">(G5-B5)/B5</f>
        <v>0.0682027557574486</v>
      </c>
      <c r="H49" s="45" t="n">
        <f aca="false">(H5-C5)/H5</f>
        <v>-0.0207909833012271</v>
      </c>
      <c r="I49" s="45" t="n">
        <f aca="false">(I5-D5)/I5</f>
        <v>0.124505084208905</v>
      </c>
      <c r="J49" s="45" t="n">
        <f aca="false">(J5-E5)/J5</f>
        <v>0.0212636613136284</v>
      </c>
      <c r="K49" s="45" t="n">
        <f aca="false">(K5-F5)/K5</f>
        <v>-0.0643538201722971</v>
      </c>
      <c r="L49" s="49" t="n">
        <f aca="false">(L5-G5)/L5</f>
        <v>0.0136526343237611</v>
      </c>
      <c r="M49" s="45" t="n">
        <f aca="false">(M5-H5)/M5</f>
        <v>0.0909432676605693</v>
      </c>
    </row>
    <row r="50" customFormat="false" ht="12.8" hidden="false" customHeight="false" outlineLevel="0" collapsed="false">
      <c r="A50" s="0" t="s">
        <v>80</v>
      </c>
      <c r="F50" s="45"/>
      <c r="G50" s="49" t="n">
        <f aca="false">(G10-B10)/B10</f>
        <v>-0.0646130927574542</v>
      </c>
      <c r="H50" s="45" t="n">
        <f aca="false">(H10-C10)/H10</f>
        <v>-0.104549250038658</v>
      </c>
      <c r="I50" s="45" t="n">
        <f aca="false">(I10-D10)/I10</f>
        <v>0.0451188663637563</v>
      </c>
      <c r="J50" s="45" t="n">
        <f aca="false">(J10-E10)/J10</f>
        <v>-0.126473946826205</v>
      </c>
      <c r="K50" s="45" t="n">
        <f aca="false">(K10-F10)/K10</f>
        <v>0.0011286261106586</v>
      </c>
      <c r="L50" s="49" t="n">
        <f aca="false">(L10-G10)/L10</f>
        <v>-0.0436077062963488</v>
      </c>
      <c r="M50" s="45" t="n">
        <f aca="false">(M10-H10)/M10</f>
        <v>0.0675106702041758</v>
      </c>
    </row>
    <row r="51" customFormat="false" ht="12.8" hidden="false" customHeight="false" outlineLevel="0" collapsed="false">
      <c r="A51" s="0" t="s">
        <v>81</v>
      </c>
      <c r="F51" s="45"/>
      <c r="G51" s="49" t="n">
        <f aca="false">+G48-AVERAGE(G50,G49)</f>
        <v>-0.0212618406831807</v>
      </c>
      <c r="H51" s="45" t="n">
        <f aca="false">+H48-AVERAGE(H50,H49)</f>
        <v>0.131415338744977</v>
      </c>
      <c r="I51" s="45" t="n">
        <f aca="false">+I48-AVERAGE(I50,I49)</f>
        <v>-0.0588317696566682</v>
      </c>
      <c r="J51" s="45" t="n">
        <f aca="false">+J48-AVERAGE(J50,J49)</f>
        <v>0.146490600798605</v>
      </c>
      <c r="K51" s="45" t="n">
        <f aca="false">+K48-AVERAGE(K50,K49)</f>
        <v>-0.137219094651185</v>
      </c>
      <c r="L51" s="49" t="n">
        <f aca="false">+L48-AVERAGE(L50,L49)</f>
        <v>0.0247203992865704</v>
      </c>
      <c r="M51" s="45" t="n">
        <f aca="false">+M48-AVERAGE(M50,M49)</f>
        <v>-0.108300869381043</v>
      </c>
    </row>
    <row r="52" customFormat="false" ht="12.8" hidden="false" customHeight="false" outlineLevel="0" collapsed="false">
      <c r="A52" s="0" t="s">
        <v>82</v>
      </c>
      <c r="G52" s="49" t="n">
        <f aca="false">G23/B23</f>
        <v>1.02737477917528</v>
      </c>
      <c r="H52" s="45" t="n">
        <f aca="false">H23/C23</f>
        <v>1.13548750529929</v>
      </c>
      <c r="I52" s="45" t="n">
        <f aca="false">I23/D23</f>
        <v>1.01890924625198</v>
      </c>
      <c r="J52" s="45" t="n">
        <f aca="false">J23/E23</f>
        <v>1.13132988688568</v>
      </c>
      <c r="K52" s="45" t="n">
        <f aca="false">K23/F23</f>
        <v>0.775624398972941</v>
      </c>
      <c r="L52" s="49" t="n">
        <f aca="false">L23/G23-1</f>
        <v>-0.00480161816502733</v>
      </c>
      <c r="M52" s="45" t="n">
        <f aca="false">M23/H23</f>
        <v>0.966710651261829</v>
      </c>
    </row>
    <row r="53" customFormat="false" ht="12.8" hidden="false" customHeight="false" outlineLevel="0" collapsed="false">
      <c r="A53" s="56" t="s">
        <v>83</v>
      </c>
      <c r="B53" s="57" t="s">
        <v>83</v>
      </c>
      <c r="C53" s="57"/>
      <c r="D53" s="57"/>
    </row>
    <row r="54" customFormat="false" ht="12.8" hidden="false" customHeight="false" outlineLevel="0" collapsed="false">
      <c r="A54" s="51"/>
      <c r="B54" s="58" t="n">
        <v>2019</v>
      </c>
      <c r="C54" s="22" t="n">
        <v>2020</v>
      </c>
      <c r="D54" s="22" t="n">
        <v>2021</v>
      </c>
    </row>
    <row r="55" customFormat="false" ht="12.8" hidden="false" customHeight="false" outlineLevel="0" collapsed="false">
      <c r="A55" s="0" t="s">
        <v>84</v>
      </c>
      <c r="B55" s="59" t="n">
        <f aca="false">B23/Средства!B24</f>
        <v>0.238282033593872</v>
      </c>
      <c r="C55" s="59" t="n">
        <f aca="false">G23/Средства!C24</f>
        <v>0.243333271896776</v>
      </c>
      <c r="D55" s="59" t="n">
        <f aca="false">L23/Средства!D24</f>
        <v>0.243835008514336</v>
      </c>
    </row>
    <row r="56" customFormat="false" ht="12.8" hidden="false" customHeight="false" outlineLevel="0" collapsed="false">
      <c r="A56" s="0" t="s">
        <v>85</v>
      </c>
      <c r="B56" s="59" t="n">
        <f aca="false">B23/Средства!G24</f>
        <v>0.308375441731731</v>
      </c>
      <c r="C56" s="60" t="n">
        <f aca="false">G23/Средства!H24</f>
        <v>0.311255076424613</v>
      </c>
      <c r="D56" s="60" t="n">
        <f aca="false">L23/Средства!I24</f>
        <v>0.30567116816621</v>
      </c>
    </row>
    <row r="57" customFormat="false" ht="12.8" hidden="false" customHeight="false" outlineLevel="0" collapsed="false">
      <c r="A57" s="0" t="s">
        <v>86</v>
      </c>
      <c r="B57" s="59" t="n">
        <f aca="false">Опис!E5/B23</f>
        <v>7.89011453888677E-005</v>
      </c>
      <c r="C57" s="60" t="n">
        <f aca="false">Опис!E5/G23</f>
        <v>7.6798795325894E-005</v>
      </c>
      <c r="D57" s="60" t="n">
        <f aca="false">Опис!E5/L23</f>
        <v>7.71693329969954E-005</v>
      </c>
    </row>
    <row r="58" customFormat="false" ht="12.8" hidden="false" customHeight="false" outlineLevel="0" collapsed="false">
      <c r="A58" s="0" t="s">
        <v>87</v>
      </c>
      <c r="B58" s="60" t="n">
        <f aca="false">Опис!E5/Средства!G24</f>
        <v>2.43311755624316E-005</v>
      </c>
      <c r="C58" s="60" t="n">
        <f aca="false">Опис!E5/Средства!H24</f>
        <v>2.39040149084793E-005</v>
      </c>
      <c r="D58" s="60" t="n">
        <f aca="false">Опис!E5/Средства!I24</f>
        <v>2.35884401637989E-005</v>
      </c>
    </row>
    <row r="60" customFormat="false" ht="12.8" hidden="false" customHeight="false" outlineLevel="0" collapsed="false">
      <c r="A60" s="61" t="s">
        <v>88</v>
      </c>
      <c r="B60" s="62" t="s">
        <v>88</v>
      </c>
      <c r="C60" s="62"/>
      <c r="D60" s="62"/>
    </row>
    <row r="61" customFormat="false" ht="12.8" hidden="false" customHeight="false" outlineLevel="0" collapsed="false">
      <c r="A61" s="0" t="s">
        <v>89</v>
      </c>
      <c r="B61" s="59" t="n">
        <f aca="false">Средства!G18/Средства!G27</f>
        <v>0.227298930628972</v>
      </c>
      <c r="C61" s="59" t="n">
        <f aca="false">Средства!H18/Средства!H27</f>
        <v>0.218219223186293</v>
      </c>
      <c r="D61" s="59" t="n">
        <f aca="false">Средства!I18/Средства!I24</f>
        <v>0.253598365667982</v>
      </c>
    </row>
    <row r="62" customFormat="false" ht="12.8" hidden="false" customHeight="false" outlineLevel="0" collapsed="false">
      <c r="A62" s="0" t="s">
        <v>90</v>
      </c>
      <c r="B62" s="59" t="n">
        <f aca="false">Средства!G18/Средства!B24</f>
        <v>0.227298930628972</v>
      </c>
      <c r="C62" s="59" t="n">
        <f aca="false">Средства!H18/Средства!C24</f>
        <v>0.21821925588541</v>
      </c>
      <c r="D62" s="59" t="n">
        <f aca="false">Средства!I18/Средства!D24</f>
        <v>0.202296343560444</v>
      </c>
    </row>
  </sheetData>
  <mergeCells count="7">
    <mergeCell ref="A3:M3"/>
    <mergeCell ref="A12:M12"/>
    <mergeCell ref="A16:M16"/>
    <mergeCell ref="A20:M20"/>
    <mergeCell ref="A42:M42"/>
    <mergeCell ref="B53:D53"/>
    <mergeCell ref="B60:D60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8.48"/>
    <col collapsed="false" customWidth="true" hidden="false" outlineLevel="0" max="2" min="2" style="24" width="11.54"/>
    <col collapsed="false" customWidth="true" hidden="false" outlineLevel="0" max="3" min="3" style="47" width="11.54"/>
    <col collapsed="false" customWidth="true" hidden="false" outlineLevel="0" max="4" min="4" style="24" width="11.54"/>
    <col collapsed="false" customWidth="true" hidden="false" outlineLevel="0" max="5" min="5" style="24" width="11.52"/>
    <col collapsed="false" customWidth="true" hidden="false" outlineLevel="0" max="6" min="6" style="0" width="29.08"/>
    <col collapsed="false" customWidth="true" hidden="false" outlineLevel="0" max="9" min="7" style="16" width="11.54"/>
  </cols>
  <sheetData>
    <row r="1" customFormat="false" ht="12.8" hidden="false" customHeight="false" outlineLevel="0" collapsed="false">
      <c r="A1" s="2" t="s">
        <v>24</v>
      </c>
      <c r="B1" s="63"/>
      <c r="D1" s="63"/>
      <c r="E1" s="63"/>
      <c r="G1" s="0"/>
      <c r="H1" s="0"/>
      <c r="I1" s="0"/>
    </row>
    <row r="2" customFormat="false" ht="12.8" hidden="false" customHeight="false" outlineLevel="0" collapsed="false">
      <c r="A2" s="0" t="s">
        <v>91</v>
      </c>
      <c r="B2" s="63"/>
      <c r="D2" s="63"/>
      <c r="E2" s="63"/>
      <c r="G2" s="0"/>
      <c r="H2" s="0"/>
      <c r="I2" s="0"/>
    </row>
    <row r="3" customFormat="false" ht="12.8" hidden="false" customHeight="false" outlineLevel="0" collapsed="false">
      <c r="B3" s="64" t="n">
        <v>2019</v>
      </c>
      <c r="C3" s="65" t="n">
        <v>2020</v>
      </c>
      <c r="D3" s="64" t="n">
        <v>2021</v>
      </c>
      <c r="E3" s="66"/>
      <c r="G3" s="64" t="n">
        <v>2019</v>
      </c>
      <c r="H3" s="65" t="n">
        <v>2020</v>
      </c>
      <c r="I3" s="64" t="n">
        <v>2021</v>
      </c>
    </row>
    <row r="4" customFormat="false" ht="12.8" hidden="false" customHeight="false" outlineLevel="0" collapsed="false">
      <c r="A4" s="67" t="s">
        <v>92</v>
      </c>
      <c r="B4" s="67"/>
      <c r="C4" s="67"/>
      <c r="D4" s="67"/>
      <c r="E4" s="68"/>
      <c r="F4" s="69" t="s">
        <v>93</v>
      </c>
      <c r="G4" s="69"/>
      <c r="H4" s="69"/>
      <c r="I4" s="69"/>
    </row>
    <row r="5" customFormat="false" ht="12.8" hidden="false" customHeight="false" outlineLevel="0" collapsed="false">
      <c r="A5" s="0" t="s">
        <v>94</v>
      </c>
      <c r="B5" s="70" t="n">
        <v>1539722</v>
      </c>
      <c r="C5" s="71" t="n">
        <v>1635743</v>
      </c>
      <c r="D5" s="71" t="n">
        <v>1291406</v>
      </c>
      <c r="E5" s="72"/>
      <c r="F5" s="0" t="s">
        <v>95</v>
      </c>
      <c r="G5" s="73" t="n">
        <v>1814571</v>
      </c>
      <c r="H5" s="73" t="n">
        <v>2052615</v>
      </c>
      <c r="I5" s="73" t="n">
        <v>1326664</v>
      </c>
    </row>
    <row r="6" customFormat="false" ht="12.8" hidden="false" customHeight="false" outlineLevel="0" collapsed="false">
      <c r="A6" s="0" t="s">
        <v>96</v>
      </c>
      <c r="B6" s="70"/>
      <c r="C6" s="71"/>
      <c r="D6" s="71"/>
      <c r="E6" s="68"/>
      <c r="F6" s="0" t="s">
        <v>97</v>
      </c>
      <c r="G6" s="73" t="n">
        <v>78957</v>
      </c>
      <c r="H6" s="73" t="n">
        <v>57901</v>
      </c>
      <c r="I6" s="73" t="n">
        <v>39569</v>
      </c>
    </row>
    <row r="7" customFormat="false" ht="12.8" hidden="false" customHeight="false" outlineLevel="0" collapsed="false">
      <c r="A7" s="28" t="s">
        <v>98</v>
      </c>
      <c r="B7" s="24" t="n">
        <v>2648989</v>
      </c>
      <c r="C7" s="47" t="n">
        <v>2740952</v>
      </c>
      <c r="D7" s="24" t="n">
        <v>2621676</v>
      </c>
      <c r="E7" s="68"/>
      <c r="F7" s="74" t="s">
        <v>99</v>
      </c>
      <c r="G7" s="73" t="n">
        <v>692060</v>
      </c>
      <c r="H7" s="73" t="n">
        <v>593604</v>
      </c>
      <c r="I7" s="73" t="n">
        <v>492628</v>
      </c>
    </row>
    <row r="8" customFormat="false" ht="12.8" hidden="false" customHeight="false" outlineLevel="0" collapsed="false">
      <c r="A8" s="0" t="s">
        <v>100</v>
      </c>
      <c r="B8" s="24" t="n">
        <v>250108</v>
      </c>
      <c r="C8" s="47" t="n">
        <v>264552</v>
      </c>
      <c r="D8" s="24" t="n">
        <v>229509</v>
      </c>
      <c r="E8" s="68"/>
      <c r="F8" s="0" t="s">
        <v>101</v>
      </c>
      <c r="G8" s="73" t="n">
        <v>183453</v>
      </c>
      <c r="H8" s="73" t="n">
        <v>18582</v>
      </c>
      <c r="I8" s="73" t="n">
        <v>66064</v>
      </c>
      <c r="J8" s="10"/>
    </row>
    <row r="9" customFormat="false" ht="12.8" hidden="false" customHeight="false" outlineLevel="0" collapsed="false">
      <c r="A9" s="0" t="s">
        <v>102</v>
      </c>
      <c r="B9" s="24" t="n">
        <v>0</v>
      </c>
      <c r="C9" s="47" t="n">
        <v>494112</v>
      </c>
      <c r="D9" s="24" t="n">
        <v>677897</v>
      </c>
      <c r="E9" s="68"/>
      <c r="F9" s="0" t="s">
        <v>103</v>
      </c>
      <c r="G9" s="73" t="n">
        <v>1073378</v>
      </c>
      <c r="H9" s="73" t="n">
        <v>817092</v>
      </c>
      <c r="I9" s="73" t="n">
        <v>1197687</v>
      </c>
    </row>
    <row r="10" customFormat="false" ht="12.8" hidden="false" customHeight="false" outlineLevel="0" collapsed="false">
      <c r="A10" s="0" t="s">
        <v>104</v>
      </c>
      <c r="B10" s="24" t="n">
        <v>385307</v>
      </c>
      <c r="C10" s="47" t="n">
        <v>352192</v>
      </c>
      <c r="D10" s="24" t="n">
        <v>497731</v>
      </c>
      <c r="E10" s="68"/>
      <c r="F10" s="0" t="s">
        <v>93</v>
      </c>
      <c r="G10" s="75" t="n">
        <f aca="false">SUM(G5:G9)</f>
        <v>3842419</v>
      </c>
      <c r="H10" s="75" t="n">
        <f aca="false">SUM(H5:H9)</f>
        <v>3539794</v>
      </c>
      <c r="I10" s="75" t="n">
        <f aca="false">SUM(I5:I9)</f>
        <v>3122612</v>
      </c>
    </row>
    <row r="11" customFormat="false" ht="12.8" hidden="false" customHeight="false" outlineLevel="0" collapsed="false">
      <c r="A11" s="0" t="s">
        <v>105</v>
      </c>
      <c r="B11" s="24" t="n">
        <v>246061</v>
      </c>
      <c r="C11" s="47" t="n">
        <v>214601</v>
      </c>
      <c r="D11" s="24" t="n">
        <v>265017</v>
      </c>
      <c r="E11" s="68"/>
      <c r="F11" s="76" t="s">
        <v>106</v>
      </c>
      <c r="G11" s="76"/>
      <c r="H11" s="76"/>
      <c r="I11" s="76"/>
    </row>
    <row r="12" customFormat="false" ht="12.8" hidden="false" customHeight="false" outlineLevel="0" collapsed="false">
      <c r="A12" s="0" t="s">
        <v>92</v>
      </c>
      <c r="B12" s="26" t="n">
        <f aca="false">SUM(B5:B11)</f>
        <v>5070187</v>
      </c>
      <c r="C12" s="26" t="n">
        <f aca="false">SUM(C5:C11)</f>
        <v>5702152</v>
      </c>
      <c r="D12" s="26" t="n">
        <f aca="false">SUM(D5:D11)</f>
        <v>5583236</v>
      </c>
      <c r="E12" s="68"/>
      <c r="F12" s="0" t="s">
        <v>107</v>
      </c>
      <c r="G12" s="73" t="n">
        <v>0</v>
      </c>
      <c r="H12" s="73" t="n">
        <v>0</v>
      </c>
      <c r="I12" s="73" t="n">
        <v>0</v>
      </c>
    </row>
    <row r="13" customFormat="false" ht="12.8" hidden="false" customHeight="false" outlineLevel="0" collapsed="false">
      <c r="A13" s="77" t="s">
        <v>108</v>
      </c>
      <c r="B13" s="77"/>
      <c r="C13" s="77"/>
      <c r="D13" s="77"/>
      <c r="E13" s="78"/>
      <c r="F13" s="0" t="s">
        <v>109</v>
      </c>
      <c r="G13" s="73" t="n">
        <v>527337</v>
      </c>
      <c r="H13" s="73" t="n">
        <v>684457</v>
      </c>
      <c r="I13" s="73" t="n">
        <v>777819</v>
      </c>
    </row>
    <row r="14" customFormat="false" ht="12.8" hidden="false" customHeight="false" outlineLevel="0" collapsed="false">
      <c r="A14" s="0" t="s">
        <v>110</v>
      </c>
      <c r="B14" s="24" t="n">
        <v>3378179</v>
      </c>
      <c r="C14" s="47" t="n">
        <v>3246207</v>
      </c>
      <c r="D14" s="24" t="n">
        <v>3123397</v>
      </c>
      <c r="E14" s="68"/>
      <c r="F14" s="0" t="s">
        <v>111</v>
      </c>
      <c r="G14" s="73" t="n">
        <v>37917</v>
      </c>
      <c r="H14" s="73" t="n">
        <v>54264</v>
      </c>
      <c r="I14" s="73" t="n">
        <v>64281</v>
      </c>
    </row>
    <row r="15" customFormat="false" ht="12.8" hidden="false" customHeight="false" outlineLevel="0" collapsed="false">
      <c r="A15" s="28" t="s">
        <v>112</v>
      </c>
      <c r="B15" s="24" t="n">
        <v>6940004</v>
      </c>
      <c r="C15" s="47" t="n">
        <v>7317332</v>
      </c>
      <c r="D15" s="24" t="n">
        <v>0</v>
      </c>
      <c r="E15" s="68"/>
      <c r="F15" s="0" t="s">
        <v>113</v>
      </c>
      <c r="G15" s="73" t="n">
        <v>115643</v>
      </c>
      <c r="H15" s="73" t="n">
        <v>90377</v>
      </c>
      <c r="I15" s="73" t="n">
        <v>57652</v>
      </c>
    </row>
    <row r="16" customFormat="false" ht="12.8" hidden="false" customHeight="false" outlineLevel="0" collapsed="false">
      <c r="A16" s="0" t="s">
        <v>114</v>
      </c>
      <c r="B16" s="24" t="n">
        <v>0</v>
      </c>
      <c r="C16" s="47" t="n">
        <v>0</v>
      </c>
      <c r="D16" s="24" t="n">
        <v>0</v>
      </c>
      <c r="E16" s="68"/>
      <c r="F16" s="0" t="s">
        <v>115</v>
      </c>
      <c r="G16" s="75" t="n">
        <f aca="false">SUM(G12:G15)</f>
        <v>680897</v>
      </c>
      <c r="H16" s="75" t="n">
        <f aca="false">SUM(H12:H15)</f>
        <v>829098</v>
      </c>
      <c r="I16" s="75" t="n">
        <f aca="false">SUM(I12:I15)</f>
        <v>899752</v>
      </c>
    </row>
    <row r="17" customFormat="false" ht="12.8" hidden="false" customHeight="false" outlineLevel="0" collapsed="false">
      <c r="A17" s="0" t="s">
        <v>116</v>
      </c>
      <c r="B17" s="24" t="n">
        <v>0</v>
      </c>
      <c r="C17" s="47" t="n">
        <v>0</v>
      </c>
      <c r="D17" s="24" t="n">
        <v>0</v>
      </c>
      <c r="E17" s="68"/>
      <c r="G17" s="0"/>
      <c r="H17" s="0"/>
      <c r="I17" s="0"/>
    </row>
    <row r="18" customFormat="false" ht="12.8" hidden="false" customHeight="false" outlineLevel="0" collapsed="false">
      <c r="A18" s="0" t="s">
        <v>117</v>
      </c>
      <c r="B18" s="24" t="n">
        <f aca="false">21881+407848</f>
        <v>429729</v>
      </c>
      <c r="C18" s="47" t="n">
        <f aca="false">13643+491574</f>
        <v>505217</v>
      </c>
      <c r="D18" s="24" t="n">
        <f aca="false">469850+9765</f>
        <v>479615</v>
      </c>
      <c r="E18" s="68"/>
      <c r="F18" s="0" t="s">
        <v>118</v>
      </c>
      <c r="G18" s="73" t="n">
        <f aca="false">+G10+G16</f>
        <v>4523316</v>
      </c>
      <c r="H18" s="73" t="n">
        <f aca="false">+H10+H16</f>
        <v>4368892</v>
      </c>
      <c r="I18" s="73" t="n">
        <f aca="false">+I10+I16</f>
        <v>4022364</v>
      </c>
    </row>
    <row r="19" customFormat="false" ht="12.8" hidden="false" customHeight="false" outlineLevel="0" collapsed="false">
      <c r="A19" s="0" t="s">
        <v>119</v>
      </c>
      <c r="B19" s="24" t="n">
        <v>2366029</v>
      </c>
      <c r="C19" s="47" t="n">
        <v>2638818</v>
      </c>
      <c r="D19" s="24" t="n">
        <v>2793678</v>
      </c>
      <c r="E19" s="68"/>
      <c r="G19" s="0"/>
      <c r="H19" s="0"/>
      <c r="I19" s="0"/>
    </row>
    <row r="20" customFormat="false" ht="12.8" hidden="false" customHeight="false" outlineLevel="0" collapsed="false">
      <c r="A20" s="0" t="s">
        <v>120</v>
      </c>
      <c r="B20" s="24" t="n">
        <v>131585</v>
      </c>
      <c r="C20" s="47" t="n">
        <v>140881</v>
      </c>
      <c r="D20" s="24" t="n">
        <v>215532</v>
      </c>
      <c r="E20" s="68"/>
      <c r="F20" s="79" t="s">
        <v>121</v>
      </c>
      <c r="G20" s="79"/>
      <c r="H20" s="79"/>
      <c r="I20" s="79"/>
    </row>
    <row r="21" customFormat="false" ht="12.8" hidden="false" customHeight="false" outlineLevel="0" collapsed="false">
      <c r="A21" s="28" t="s">
        <v>122</v>
      </c>
      <c r="B21" s="24" t="n">
        <f aca="false">612+1583971</f>
        <v>1584583</v>
      </c>
      <c r="C21" s="47" t="n">
        <f aca="false">612+469434</f>
        <v>470046</v>
      </c>
      <c r="D21" s="24" t="n">
        <v>1241833</v>
      </c>
      <c r="E21" s="68"/>
      <c r="F21" s="0" t="s">
        <v>123</v>
      </c>
      <c r="G21" s="73" t="n">
        <v>6386189</v>
      </c>
      <c r="H21" s="73" t="n">
        <v>6386189</v>
      </c>
      <c r="I21" s="73" t="n">
        <v>6386189</v>
      </c>
    </row>
    <row r="22" customFormat="false" ht="12.8" hidden="false" customHeight="false" outlineLevel="0" collapsed="false">
      <c r="A22" s="0" t="s">
        <v>124</v>
      </c>
      <c r="B22" s="26" t="n">
        <f aca="false">SUM(B14:B21)</f>
        <v>14830109</v>
      </c>
      <c r="C22" s="26" t="n">
        <f aca="false">SUM(C14:C21)</f>
        <v>14318501</v>
      </c>
      <c r="D22" s="26" t="n">
        <f aca="false">SUM(D14:D21)</f>
        <v>7854055</v>
      </c>
      <c r="E22" s="68"/>
      <c r="F22" s="0" t="s">
        <v>125</v>
      </c>
      <c r="G22" s="73" t="n">
        <v>958389</v>
      </c>
      <c r="H22" s="73" t="n">
        <v>958389</v>
      </c>
      <c r="I22" s="73" t="n">
        <v>958389</v>
      </c>
    </row>
    <row r="23" customFormat="false" ht="12.8" hidden="false" customHeight="false" outlineLevel="0" collapsed="false">
      <c r="B23" s="63"/>
      <c r="D23" s="63"/>
      <c r="E23" s="68"/>
      <c r="F23" s="0" t="s">
        <v>126</v>
      </c>
      <c r="G23" s="73" t="n">
        <v>8032402</v>
      </c>
      <c r="H23" s="73" t="n">
        <v>8307186</v>
      </c>
      <c r="I23" s="73" t="n">
        <v>8516581</v>
      </c>
    </row>
    <row r="24" customFormat="false" ht="12.8" hidden="false" customHeight="false" outlineLevel="0" collapsed="false">
      <c r="A24" s="0" t="s">
        <v>127</v>
      </c>
      <c r="B24" s="24" t="n">
        <f aca="false">B22+B12</f>
        <v>19900296</v>
      </c>
      <c r="C24" s="24" t="n">
        <f aca="false">C22+C12</f>
        <v>20020653</v>
      </c>
      <c r="D24" s="24" t="n">
        <v>19883523</v>
      </c>
      <c r="E24" s="68"/>
      <c r="F24" s="0" t="s">
        <v>128</v>
      </c>
      <c r="G24" s="75" t="n">
        <f aca="false">SUM(G21:G23)</f>
        <v>15376980</v>
      </c>
      <c r="H24" s="75" t="n">
        <f aca="false">SUM(H21:H23)</f>
        <v>15651764</v>
      </c>
      <c r="I24" s="75" t="n">
        <f aca="false">SUM(I21:I23)</f>
        <v>15861159</v>
      </c>
    </row>
    <row r="25" customFormat="false" ht="12.8" hidden="false" customHeight="false" outlineLevel="0" collapsed="false">
      <c r="B25" s="63"/>
      <c r="D25" s="63"/>
      <c r="E25" s="68"/>
      <c r="G25" s="80"/>
      <c r="H25" s="80"/>
      <c r="I25" s="80"/>
    </row>
    <row r="26" customFormat="false" ht="12.8" hidden="false" customHeight="false" outlineLevel="0" collapsed="false">
      <c r="A26" s="0" t="s">
        <v>129</v>
      </c>
      <c r="B26" s="24" t="n">
        <f aca="false">+B5+B6+(B7*0.9)</f>
        <v>3923812.1</v>
      </c>
      <c r="C26" s="24" t="n">
        <f aca="false">+D5+C6+(C7*0.9)</f>
        <v>3758262.8</v>
      </c>
      <c r="D26" s="24" t="n">
        <f aca="false">+D5+D6+(D7*0.8)</f>
        <v>3388746.8</v>
      </c>
      <c r="E26" s="68"/>
      <c r="G26" s="80"/>
      <c r="H26" s="80"/>
      <c r="I26" s="80"/>
    </row>
    <row r="27" customFormat="false" ht="12.8" hidden="false" customHeight="false" outlineLevel="0" collapsed="false">
      <c r="B27" s="0"/>
      <c r="C27" s="0"/>
      <c r="D27" s="0"/>
      <c r="E27" s="68"/>
      <c r="F27" s="0" t="s">
        <v>130</v>
      </c>
      <c r="G27" s="73" t="n">
        <f aca="false">G24+G18</f>
        <v>19900296</v>
      </c>
      <c r="H27" s="73" t="n">
        <f aca="false">H24+H18</f>
        <v>20020656</v>
      </c>
      <c r="I27" s="73" t="n">
        <f aca="false">I24+I18</f>
        <v>19883523</v>
      </c>
    </row>
    <row r="28" customFormat="false" ht="12.8" hidden="false" customHeight="false" outlineLevel="0" collapsed="false">
      <c r="B28" s="63"/>
      <c r="D28" s="63"/>
      <c r="E28" s="63"/>
    </row>
    <row r="29" customFormat="false" ht="12.8" hidden="false" customHeight="false" outlineLevel="0" collapsed="false">
      <c r="B29" s="63"/>
      <c r="D29" s="63"/>
      <c r="E29" s="63"/>
    </row>
    <row r="30" customFormat="false" ht="12.8" hidden="false" customHeight="false" outlineLevel="0" collapsed="false">
      <c r="B30" s="63"/>
      <c r="D30" s="63"/>
      <c r="E30" s="63"/>
    </row>
    <row r="31" customFormat="false" ht="12.8" hidden="false" customHeight="false" outlineLevel="0" collapsed="false">
      <c r="B31" s="63"/>
      <c r="D31" s="63"/>
      <c r="E31" s="63"/>
    </row>
    <row r="32" customFormat="false" ht="12.8" hidden="false" customHeight="false" outlineLevel="0" collapsed="false">
      <c r="B32" s="63"/>
      <c r="D32" s="63"/>
      <c r="E32" s="63"/>
    </row>
    <row r="33" customFormat="false" ht="12.8" hidden="false" customHeight="false" outlineLevel="0" collapsed="false">
      <c r="B33" s="63"/>
      <c r="D33" s="63"/>
      <c r="E33" s="63"/>
    </row>
    <row r="34" customFormat="false" ht="12.8" hidden="false" customHeight="false" outlineLevel="0" collapsed="false">
      <c r="B34" s="63"/>
      <c r="D34" s="63"/>
      <c r="E34" s="63"/>
    </row>
    <row r="35" customFormat="false" ht="12.8" hidden="false" customHeight="false" outlineLevel="0" collapsed="false">
      <c r="B35" s="63"/>
      <c r="D35" s="63"/>
      <c r="E35" s="63"/>
    </row>
    <row r="36" customFormat="false" ht="12.8" hidden="false" customHeight="false" outlineLevel="0" collapsed="false">
      <c r="B36" s="63"/>
      <c r="D36" s="63"/>
      <c r="E36" s="63"/>
    </row>
    <row r="37" customFormat="false" ht="12.8" hidden="false" customHeight="false" outlineLevel="0" collapsed="false">
      <c r="B37" s="63"/>
      <c r="D37" s="63"/>
      <c r="E37" s="63"/>
    </row>
    <row r="38" customFormat="false" ht="12.8" hidden="false" customHeight="false" outlineLevel="0" collapsed="false">
      <c r="B38" s="63"/>
      <c r="D38" s="63"/>
      <c r="E38" s="63"/>
    </row>
    <row r="39" customFormat="false" ht="12.8" hidden="false" customHeight="false" outlineLevel="0" collapsed="false">
      <c r="B39" s="63"/>
      <c r="D39" s="63"/>
      <c r="E39" s="63"/>
    </row>
    <row r="40" customFormat="false" ht="12.8" hidden="false" customHeight="false" outlineLevel="0" collapsed="false">
      <c r="B40" s="63"/>
      <c r="D40" s="63"/>
      <c r="E40" s="63"/>
    </row>
    <row r="41" customFormat="false" ht="12.8" hidden="false" customHeight="false" outlineLevel="0" collapsed="false">
      <c r="B41" s="63"/>
      <c r="D41" s="63"/>
      <c r="E41" s="63"/>
    </row>
    <row r="42" customFormat="false" ht="12.8" hidden="false" customHeight="false" outlineLevel="0" collapsed="false">
      <c r="B42" s="63"/>
      <c r="D42" s="63"/>
      <c r="E42" s="63"/>
    </row>
    <row r="43" customFormat="false" ht="12.8" hidden="false" customHeight="false" outlineLevel="0" collapsed="false">
      <c r="B43" s="63"/>
      <c r="D43" s="63"/>
      <c r="E43" s="63"/>
    </row>
    <row r="44" customFormat="false" ht="12.8" hidden="false" customHeight="false" outlineLevel="0" collapsed="false">
      <c r="B44" s="63"/>
      <c r="D44" s="63"/>
      <c r="E44" s="63"/>
    </row>
    <row r="45" customFormat="false" ht="12.8" hidden="false" customHeight="false" outlineLevel="0" collapsed="false">
      <c r="B45" s="63"/>
      <c r="D45" s="63"/>
      <c r="E45" s="63"/>
    </row>
    <row r="46" customFormat="false" ht="12.8" hidden="false" customHeight="false" outlineLevel="0" collapsed="false">
      <c r="B46" s="63"/>
      <c r="D46" s="63"/>
      <c r="E46" s="63"/>
    </row>
    <row r="47" customFormat="false" ht="12.8" hidden="false" customHeight="false" outlineLevel="0" collapsed="false">
      <c r="B47" s="63"/>
      <c r="D47" s="63"/>
      <c r="E47" s="63"/>
    </row>
    <row r="48" customFormat="false" ht="12.8" hidden="false" customHeight="false" outlineLevel="0" collapsed="false">
      <c r="B48" s="63"/>
      <c r="D48" s="63"/>
      <c r="E48" s="63"/>
    </row>
    <row r="49" customFormat="false" ht="12.8" hidden="false" customHeight="false" outlineLevel="0" collapsed="false">
      <c r="B49" s="63"/>
      <c r="D49" s="63"/>
      <c r="E49" s="63"/>
    </row>
    <row r="50" customFormat="false" ht="12.8" hidden="false" customHeight="false" outlineLevel="0" collapsed="false">
      <c r="B50" s="63"/>
      <c r="D50" s="63"/>
      <c r="E50" s="63"/>
    </row>
    <row r="51" customFormat="false" ht="12.8" hidden="false" customHeight="false" outlineLevel="0" collapsed="false">
      <c r="B51" s="63"/>
      <c r="D51" s="63"/>
      <c r="E51" s="63"/>
    </row>
    <row r="52" customFormat="false" ht="12.8" hidden="false" customHeight="false" outlineLevel="0" collapsed="false">
      <c r="B52" s="63"/>
      <c r="D52" s="63"/>
      <c r="E52" s="63"/>
    </row>
  </sheetData>
  <mergeCells count="8">
    <mergeCell ref="A4:D4"/>
    <mergeCell ref="F4:I4"/>
    <mergeCell ref="B5:B6"/>
    <mergeCell ref="C5:C6"/>
    <mergeCell ref="D5:D6"/>
    <mergeCell ref="F11:I11"/>
    <mergeCell ref="A13:D13"/>
    <mergeCell ref="F20:I20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5.14"/>
    <col collapsed="false" customWidth="true" hidden="false" outlineLevel="0" max="4" min="2" style="47" width="11.54"/>
    <col collapsed="false" customWidth="true" hidden="false" outlineLevel="0" max="5" min="5" style="43" width="9.63"/>
    <col collapsed="false" customWidth="true" hidden="false" outlineLevel="0" max="6" min="6" style="47" width="10.19"/>
    <col collapsed="false" customWidth="true" hidden="false" outlineLevel="0" max="7" min="7" style="45" width="10.19"/>
    <col collapsed="false" customWidth="true" hidden="false" outlineLevel="0" max="8" min="8" style="0" width="9.17"/>
    <col collapsed="false" customWidth="true" hidden="false" outlineLevel="0" max="9" min="9" style="0" width="20.01"/>
    <col collapsed="false" customWidth="true" hidden="false" outlineLevel="0" max="10" min="10" style="0" width="15.68"/>
    <col collapsed="false" customWidth="true" hidden="false" outlineLevel="0" max="11" min="11" style="0" width="3.74"/>
    <col collapsed="false" customWidth="true" hidden="false" outlineLevel="0" max="14" min="12" style="1" width="11.52"/>
  </cols>
  <sheetData>
    <row r="1" customFormat="false" ht="12.8" hidden="false" customHeight="false" outlineLevel="0" collapsed="false">
      <c r="A1" s="2" t="s">
        <v>24</v>
      </c>
    </row>
    <row r="2" customFormat="false" ht="12.8" hidden="false" customHeight="false" outlineLevel="0" collapsed="false">
      <c r="A2" s="0" t="s">
        <v>131</v>
      </c>
      <c r="B2" s="47" t="s">
        <v>132</v>
      </c>
      <c r="C2" s="81" t="n">
        <v>2021</v>
      </c>
      <c r="D2" s="82" t="n">
        <v>2020</v>
      </c>
      <c r="E2" s="45" t="s">
        <v>133</v>
      </c>
      <c r="F2" s="48" t="n">
        <v>2019</v>
      </c>
      <c r="G2" s="45" t="s">
        <v>133</v>
      </c>
    </row>
    <row r="3" customFormat="false" ht="12.8" hidden="false" customHeight="false" outlineLevel="0" collapsed="false">
      <c r="A3" s="83" t="s">
        <v>34</v>
      </c>
      <c r="B3" s="83"/>
      <c r="C3" s="83"/>
      <c r="D3" s="83"/>
      <c r="E3" s="83"/>
      <c r="F3" s="83"/>
      <c r="G3" s="83"/>
      <c r="I3" s="84" t="s">
        <v>134</v>
      </c>
      <c r="J3" s="84"/>
      <c r="K3" s="84"/>
      <c r="L3" s="18" t="s">
        <v>135</v>
      </c>
      <c r="M3" s="18" t="s">
        <v>136</v>
      </c>
      <c r="N3" s="85" t="s">
        <v>137</v>
      </c>
    </row>
    <row r="4" customFormat="false" ht="12.8" hidden="false" customHeight="false" outlineLevel="0" collapsed="false">
      <c r="A4" s="0" t="s">
        <v>138</v>
      </c>
      <c r="B4" s="47" t="str">
        <f aca="false">IF(C4&gt;0,"+","-")</f>
        <v>+</v>
      </c>
      <c r="C4" s="86" t="n">
        <v>1591293</v>
      </c>
      <c r="D4" s="24" t="n">
        <v>1603171</v>
      </c>
      <c r="E4" s="43" t="n">
        <f aca="false">(+C4/D4)-1</f>
        <v>-0.00740906615701009</v>
      </c>
      <c r="F4" s="24" t="n">
        <v>1505395</v>
      </c>
      <c r="G4" s="43" t="n">
        <f aca="false">(+D4/F4)-1</f>
        <v>0.0649503950790324</v>
      </c>
      <c r="I4" s="87"/>
      <c r="J4" s="87"/>
      <c r="K4" s="87"/>
      <c r="L4" s="38"/>
      <c r="M4" s="38"/>
      <c r="N4" s="88"/>
    </row>
    <row r="5" customFormat="false" ht="12.8" hidden="false" customHeight="false" outlineLevel="0" collapsed="false">
      <c r="A5" s="89"/>
      <c r="B5" s="90"/>
      <c r="C5" s="90"/>
      <c r="D5" s="90"/>
      <c r="E5" s="91"/>
      <c r="F5" s="90"/>
      <c r="G5" s="91"/>
      <c r="I5" s="87"/>
      <c r="J5" s="87"/>
      <c r="K5" s="87"/>
      <c r="L5" s="38"/>
      <c r="M5" s="38"/>
      <c r="N5" s="88"/>
    </row>
    <row r="6" customFormat="false" ht="12.8" hidden="false" customHeight="false" outlineLevel="0" collapsed="false">
      <c r="A6" s="0" t="s">
        <v>139</v>
      </c>
      <c r="B6" s="47" t="str">
        <f aca="false">IF(C6&gt;0,"+","-")</f>
        <v>+</v>
      </c>
      <c r="C6" s="24" t="n">
        <v>3039322</v>
      </c>
      <c r="D6" s="24" t="n">
        <v>2844903</v>
      </c>
      <c r="E6" s="43" t="n">
        <f aca="false">(+C6/D6)-1</f>
        <v>0.0683394126267223</v>
      </c>
      <c r="F6" s="24" t="n">
        <v>2746585</v>
      </c>
      <c r="G6" s="43" t="n">
        <f aca="false">(+D6/F6)-1</f>
        <v>0.0357964526857899</v>
      </c>
      <c r="I6" s="87"/>
      <c r="J6" s="87"/>
      <c r="K6" s="87"/>
      <c r="L6" s="38"/>
      <c r="M6" s="38"/>
      <c r="N6" s="88"/>
    </row>
    <row r="7" customFormat="false" ht="12.8" hidden="false" customHeight="false" outlineLevel="0" collapsed="false">
      <c r="A7" s="0" t="s">
        <v>140</v>
      </c>
      <c r="B7" s="47" t="str">
        <f aca="false">IF(C7&gt;0,"+","-")</f>
        <v>-</v>
      </c>
      <c r="C7" s="24" t="n">
        <v>-145536</v>
      </c>
      <c r="D7" s="24" t="n">
        <v>33112</v>
      </c>
      <c r="E7" s="43" t="n">
        <f aca="false">(+C7/D7)-1</f>
        <v>-5.3952645566562</v>
      </c>
      <c r="F7" s="24" t="n">
        <v>-115629</v>
      </c>
      <c r="G7" s="43" t="n">
        <f aca="false">(+D7/F7)-1</f>
        <v>-1.28636414740247</v>
      </c>
      <c r="I7" s="87"/>
      <c r="J7" s="87"/>
      <c r="K7" s="87"/>
      <c r="L7" s="38"/>
      <c r="M7" s="38"/>
      <c r="N7" s="88"/>
    </row>
    <row r="8" customFormat="false" ht="12.8" hidden="false" customHeight="false" outlineLevel="0" collapsed="false">
      <c r="A8" s="0" t="s">
        <v>141</v>
      </c>
      <c r="B8" s="47" t="str">
        <f aca="false">IF(C8&gt;0,"+","-")</f>
        <v>+</v>
      </c>
      <c r="C8" s="24" t="n">
        <v>227768</v>
      </c>
      <c r="D8" s="24" t="n">
        <v>-110136</v>
      </c>
      <c r="E8" s="43" t="n">
        <f aca="false">(+C8/D8)-1</f>
        <v>-3.06806130602165</v>
      </c>
      <c r="F8" s="24" t="n">
        <v>63426</v>
      </c>
      <c r="G8" s="43" t="n">
        <f aca="false">(+D8/F8)-1</f>
        <v>-2.73644877495034</v>
      </c>
      <c r="I8" s="87"/>
      <c r="J8" s="87"/>
      <c r="K8" s="87"/>
      <c r="L8" s="38"/>
      <c r="M8" s="38"/>
      <c r="N8" s="88"/>
    </row>
    <row r="9" customFormat="false" ht="12.8" hidden="false" customHeight="false" outlineLevel="0" collapsed="false">
      <c r="A9" s="0" t="s">
        <v>142</v>
      </c>
      <c r="B9" s="47" t="str">
        <f aca="false">IF(C9&gt;0,"+","-")</f>
        <v>-</v>
      </c>
      <c r="C9" s="24" t="n">
        <v>-4535</v>
      </c>
      <c r="D9" s="24" t="n">
        <v>5880</v>
      </c>
      <c r="E9" s="43" t="n">
        <f aca="false">(+C9/D9)-1</f>
        <v>-1.77125850340136</v>
      </c>
      <c r="F9" s="24" t="n">
        <v>5586</v>
      </c>
      <c r="G9" s="43" t="n">
        <f aca="false">(+D9/F9)-1</f>
        <v>0.0526315789473684</v>
      </c>
    </row>
    <row r="10" customFormat="false" ht="12.8" hidden="false" customHeight="false" outlineLevel="0" collapsed="false">
      <c r="A10" s="92" t="s">
        <v>143</v>
      </c>
      <c r="B10" s="47" t="str">
        <f aca="false">IF(C10&gt;0,"+","-")</f>
        <v>+</v>
      </c>
      <c r="C10" s="24" t="n">
        <v>71808</v>
      </c>
      <c r="D10" s="24" t="n">
        <v>-137303</v>
      </c>
      <c r="E10" s="43" t="n">
        <f aca="false">(+C10/D10)-1</f>
        <v>-1.52298930103494</v>
      </c>
      <c r="F10" s="24" t="n">
        <v>27332</v>
      </c>
      <c r="G10" s="43" t="n">
        <f aca="false">(+D10/F10)-1</f>
        <v>-6.02352553783111</v>
      </c>
    </row>
    <row r="11" customFormat="false" ht="12.8" hidden="false" customHeight="false" outlineLevel="0" collapsed="false">
      <c r="A11" s="0" t="s">
        <v>144</v>
      </c>
      <c r="B11" s="47" t="str">
        <f aca="false">IF(C11&gt;0,"+","-")</f>
        <v>-</v>
      </c>
      <c r="C11" s="24" t="n">
        <v>-2164</v>
      </c>
      <c r="D11" s="24" t="n">
        <v>-3825</v>
      </c>
      <c r="E11" s="43" t="n">
        <f aca="false">(+C11/D11)-1</f>
        <v>-0.434248366013072</v>
      </c>
      <c r="F11" s="24" t="n">
        <v>13390</v>
      </c>
      <c r="G11" s="43" t="n">
        <f aca="false">(+D11/F11)-1</f>
        <v>-1.28566094100075</v>
      </c>
      <c r="I11" s="0" t="s">
        <v>145</v>
      </c>
    </row>
    <row r="12" customFormat="false" ht="12.8" hidden="false" customHeight="false" outlineLevel="0" collapsed="false">
      <c r="A12" s="0" t="s">
        <v>105</v>
      </c>
      <c r="B12" s="47" t="str">
        <f aca="false">IF(C12&gt;0,"+","-")</f>
        <v>-</v>
      </c>
      <c r="C12" s="24" t="n">
        <v>-50416</v>
      </c>
      <c r="D12" s="24" t="n">
        <v>31460</v>
      </c>
      <c r="E12" s="43" t="n">
        <f aca="false">(+C12/D12)-1</f>
        <v>-2.60254291163382</v>
      </c>
      <c r="F12" s="24" t="n">
        <v>-9311</v>
      </c>
      <c r="G12" s="43" t="n">
        <f aca="false">(+D12/F12)-1</f>
        <v>-4.37879926968102</v>
      </c>
      <c r="I12" s="0" t="s">
        <v>90</v>
      </c>
    </row>
    <row r="13" customFormat="false" ht="12.8" hidden="false" customHeight="false" outlineLevel="0" collapsed="false">
      <c r="A13" s="93"/>
      <c r="B13" s="94"/>
      <c r="C13" s="94"/>
      <c r="D13" s="94"/>
      <c r="E13" s="95"/>
      <c r="F13" s="94"/>
      <c r="G13" s="96"/>
      <c r="I13" s="0" t="s">
        <v>146</v>
      </c>
    </row>
    <row r="14" customFormat="false" ht="12.8" hidden="false" customHeight="false" outlineLevel="0" collapsed="false">
      <c r="A14" s="0" t="s">
        <v>147</v>
      </c>
      <c r="B14" s="47" t="str">
        <f aca="false">IF(C14&gt;0,"+","-")</f>
        <v>-</v>
      </c>
      <c r="C14" s="24" t="n">
        <v>-840611</v>
      </c>
      <c r="D14" s="24" t="n">
        <v>113720</v>
      </c>
      <c r="E14" s="43" t="n">
        <f aca="false">(+C14/D14)-1</f>
        <v>-8.39193633485754</v>
      </c>
      <c r="F14" s="24" t="n">
        <v>-884780</v>
      </c>
      <c r="G14" s="43" t="n">
        <f aca="false">(+D14/F14)-1</f>
        <v>-1.1285291258844</v>
      </c>
    </row>
    <row r="15" customFormat="false" ht="12.8" hidden="false" customHeight="false" outlineLevel="0" collapsed="false">
      <c r="A15" s="0" t="s">
        <v>148</v>
      </c>
      <c r="B15" s="47" t="str">
        <f aca="false">IF(C15&gt;0,"+","-")</f>
        <v>+</v>
      </c>
      <c r="C15" s="24" t="n">
        <v>1244</v>
      </c>
      <c r="D15" s="24" t="n">
        <v>1189</v>
      </c>
      <c r="E15" s="43" t="n">
        <f aca="false">(+C15/D15)-1</f>
        <v>0.0462573591253155</v>
      </c>
      <c r="F15" s="24" t="n">
        <v>1347</v>
      </c>
      <c r="G15" s="43" t="n">
        <f aca="false">(+D15/F15)-1</f>
        <v>-0.117297698589458</v>
      </c>
      <c r="I15" s="0" t="s">
        <v>149</v>
      </c>
    </row>
    <row r="16" customFormat="false" ht="12.8" hidden="false" customHeight="false" outlineLevel="0" collapsed="false">
      <c r="A16" s="0" t="s">
        <v>150</v>
      </c>
      <c r="B16" s="47" t="str">
        <f aca="false">IF(C16&gt;0,"+","-")</f>
        <v>+</v>
      </c>
      <c r="C16" s="24" t="n">
        <v>43061</v>
      </c>
      <c r="D16" s="24" t="n">
        <v>261270</v>
      </c>
      <c r="E16" s="43" t="n">
        <f aca="false">(+C16/D16)-1</f>
        <v>-0.835185823094883</v>
      </c>
      <c r="F16" s="24" t="n">
        <v>435140</v>
      </c>
      <c r="G16" s="43" t="n">
        <f aca="false">(+D16/F16)-1</f>
        <v>-0.39957255136278</v>
      </c>
    </row>
    <row r="17" customFormat="false" ht="12.8" hidden="false" customHeight="false" outlineLevel="0" collapsed="false">
      <c r="A17" s="0" t="s">
        <v>103</v>
      </c>
      <c r="B17" s="47" t="str">
        <f aca="false">IF(C17&gt;0,"+","-")</f>
        <v>+</v>
      </c>
      <c r="C17" s="24" t="n">
        <v>162252</v>
      </c>
      <c r="D17" s="24" t="n">
        <v>-129023</v>
      </c>
      <c r="E17" s="43" t="n">
        <f aca="false">(+C17/D17)-1</f>
        <v>-2.25754322872666</v>
      </c>
      <c r="F17" s="24" t="n">
        <v>236541</v>
      </c>
      <c r="G17" s="43" t="n">
        <f aca="false">(+D17/F17)-1</f>
        <v>-1.54545723574349</v>
      </c>
      <c r="L17" s="0"/>
      <c r="M17" s="0"/>
      <c r="N17" s="0"/>
    </row>
    <row r="18" customFormat="false" ht="12.8" hidden="false" customHeight="false" outlineLevel="0" collapsed="false">
      <c r="A18" s="0" t="s">
        <v>151</v>
      </c>
      <c r="B18" s="47" t="str">
        <f aca="false">IF(C18&gt;0,"+","-")</f>
        <v>+</v>
      </c>
      <c r="C18" s="24" t="n">
        <v>40825</v>
      </c>
      <c r="D18" s="24" t="n">
        <v>-127324</v>
      </c>
      <c r="E18" s="43" t="n">
        <f aca="false">(+C18/D18)-1</f>
        <v>-1.3206386855581</v>
      </c>
      <c r="F18" s="24" t="n">
        <v>31805</v>
      </c>
      <c r="G18" s="43" t="n">
        <f aca="false">(+D18/F18)-1</f>
        <v>-5.00326992611225</v>
      </c>
      <c r="L18" s="0"/>
      <c r="M18" s="0"/>
      <c r="N18" s="0"/>
    </row>
    <row r="19" customFormat="false" ht="12.8" hidden="false" customHeight="false" outlineLevel="0" collapsed="false">
      <c r="A19" s="97"/>
      <c r="B19" s="98"/>
      <c r="C19" s="98"/>
      <c r="D19" s="98"/>
      <c r="E19" s="99"/>
      <c r="F19" s="98"/>
      <c r="G19" s="100"/>
    </row>
    <row r="20" customFormat="false" ht="12.8" hidden="false" customHeight="false" outlineLevel="0" collapsed="false">
      <c r="A20" s="0" t="s">
        <v>152</v>
      </c>
      <c r="B20" s="47" t="str">
        <f aca="false">IF(C20&gt;0,"+","-")</f>
        <v>-</v>
      </c>
      <c r="C20" s="24" t="n">
        <v>-9833</v>
      </c>
      <c r="D20" s="24" t="n">
        <v>-9015</v>
      </c>
      <c r="E20" s="43" t="n">
        <f aca="false">(+C20/D20)-1</f>
        <v>0.0907376594564615</v>
      </c>
      <c r="F20" s="24" t="n">
        <v>-7073</v>
      </c>
      <c r="G20" s="43" t="n">
        <f aca="false">(+D20/F20)-1</f>
        <v>0.274565248126679</v>
      </c>
    </row>
    <row r="21" customFormat="false" ht="12.8" hidden="false" customHeight="false" outlineLevel="0" collapsed="false">
      <c r="A21" s="0" t="s">
        <v>153</v>
      </c>
      <c r="B21" s="47" t="str">
        <f aca="false">IF(C21&gt;0,"+","-")</f>
        <v>-</v>
      </c>
      <c r="C21" s="24" t="n">
        <v>-177674</v>
      </c>
      <c r="D21" s="24" t="n">
        <v>-256313</v>
      </c>
      <c r="E21" s="43" t="n">
        <f aca="false">(+C21/D21)-1</f>
        <v>-0.306808472453602</v>
      </c>
      <c r="F21" s="24" t="n">
        <v>-212598</v>
      </c>
      <c r="G21" s="43" t="n">
        <f aca="false">(+D21/F21)-1</f>
        <v>0.205622818653045</v>
      </c>
    </row>
    <row r="22" customFormat="false" ht="12.8" hidden="false" customHeight="false" outlineLevel="0" collapsed="false">
      <c r="A22" s="0" t="s">
        <v>154</v>
      </c>
      <c r="B22" s="47" t="str">
        <f aca="false">IF(C22&gt;0,"+","-")</f>
        <v>-</v>
      </c>
      <c r="C22" s="24" t="n">
        <v>-3521</v>
      </c>
      <c r="D22" s="24" t="n">
        <v>-6332</v>
      </c>
      <c r="E22" s="43" t="n">
        <f aca="false">(+C22/D22)-1</f>
        <v>-0.443935565382186</v>
      </c>
      <c r="F22" s="24" t="n">
        <v>-1101</v>
      </c>
      <c r="G22" s="43" t="n">
        <f aca="false">(+D22/F22)-1</f>
        <v>4.7511353315168</v>
      </c>
    </row>
    <row r="23" customFormat="false" ht="12.8" hidden="false" customHeight="false" outlineLevel="0" collapsed="false">
      <c r="A23" s="0" t="s">
        <v>155</v>
      </c>
      <c r="B23" s="47" t="str">
        <f aca="false">IF(C23&gt;0,"+","-")</f>
        <v>-</v>
      </c>
      <c r="C23" s="24" t="n">
        <v>0</v>
      </c>
      <c r="D23" s="24" t="n">
        <v>0</v>
      </c>
      <c r="E23" s="43" t="e">
        <f aca="false">(+C23/D23)-1</f>
        <v>#DIV/0!</v>
      </c>
      <c r="F23" s="24" t="n">
        <v>0</v>
      </c>
      <c r="G23" s="43" t="e">
        <f aca="false">(+D23/F23)-1</f>
        <v>#DIV/0!</v>
      </c>
    </row>
    <row r="24" customFormat="false" ht="12.8" hidden="false" customHeight="false" outlineLevel="0" collapsed="false">
      <c r="A24" s="0" t="s">
        <v>156</v>
      </c>
      <c r="B24" s="47" t="str">
        <f aca="false">IF(C24&gt;0,"+","-")</f>
        <v>-</v>
      </c>
      <c r="C24" s="24" t="n">
        <v>-161004</v>
      </c>
      <c r="D24" s="24" t="n">
        <v>-74935</v>
      </c>
      <c r="E24" s="43" t="n">
        <f aca="false">(+C24/D24)-1</f>
        <v>1.14858210449056</v>
      </c>
      <c r="F24" s="24" t="n">
        <v>-107601</v>
      </c>
      <c r="G24" s="43" t="n">
        <f aca="false">(+D24/F24)-1</f>
        <v>-0.303584539177145</v>
      </c>
    </row>
    <row r="25" customFormat="false" ht="12.8" hidden="false" customHeight="false" outlineLevel="0" collapsed="false">
      <c r="A25" s="101" t="s">
        <v>157</v>
      </c>
      <c r="B25" s="102" t="n">
        <f aca="false">SUM(C4:C24)</f>
        <v>3782279</v>
      </c>
      <c r="C25" s="102"/>
      <c r="D25" s="26" t="n">
        <f aca="false">SUM(D4:D24)</f>
        <v>4040499</v>
      </c>
      <c r="E25" s="103" t="n">
        <f aca="false">(+B25/D25)-1</f>
        <v>-0.063907948003452</v>
      </c>
      <c r="F25" s="26" t="n">
        <f aca="false">SUM(F4:F24)</f>
        <v>3728454</v>
      </c>
      <c r="G25" s="103" t="n">
        <f aca="false">(+D25/F25)-1</f>
        <v>0.0836928657293345</v>
      </c>
    </row>
    <row r="26" customFormat="false" ht="12.8" hidden="false" customHeight="false" outlineLevel="0" collapsed="false">
      <c r="A26" s="30" t="s">
        <v>158</v>
      </c>
      <c r="B26" s="30"/>
      <c r="C26" s="30"/>
      <c r="D26" s="30"/>
      <c r="E26" s="30"/>
      <c r="F26" s="30"/>
      <c r="G26" s="30"/>
    </row>
    <row r="27" customFormat="false" ht="12.8" hidden="false" customHeight="false" outlineLevel="0" collapsed="false">
      <c r="A27" s="0" t="s">
        <v>159</v>
      </c>
      <c r="B27" s="47" t="str">
        <f aca="false">IF(C27&gt;0,"+","-")</f>
        <v>-</v>
      </c>
      <c r="C27" s="24" t="n">
        <v>-1964257</v>
      </c>
      <c r="D27" s="24" t="n">
        <v>-1520634</v>
      </c>
      <c r="E27" s="43" t="n">
        <f aca="false">(+C27/D27)-1</f>
        <v>0.291735552407746</v>
      </c>
      <c r="F27" s="24" t="n">
        <v>-1801459</v>
      </c>
      <c r="G27" s="43" t="n">
        <f aca="false">(+D27/F27)-1</f>
        <v>-0.155887533382664</v>
      </c>
    </row>
    <row r="28" customFormat="false" ht="12.8" hidden="false" customHeight="false" outlineLevel="0" collapsed="false">
      <c r="A28" s="0" t="s">
        <v>160</v>
      </c>
      <c r="B28" s="47" t="str">
        <f aca="false">IF(C28&gt;0,"+","-")</f>
        <v>+</v>
      </c>
      <c r="C28" s="24" t="n">
        <v>10684</v>
      </c>
      <c r="D28" s="24" t="n">
        <v>28439</v>
      </c>
      <c r="E28" s="43" t="n">
        <f aca="false">(+C28/D28)-1</f>
        <v>-0.624318717254474</v>
      </c>
      <c r="F28" s="24" t="n">
        <v>3061</v>
      </c>
      <c r="G28" s="43" t="n">
        <f aca="false">(+D28/F28)-1</f>
        <v>8.29075465534139</v>
      </c>
    </row>
    <row r="29" customFormat="false" ht="12.8" hidden="false" customHeight="false" outlineLevel="0" collapsed="false">
      <c r="A29" s="0" t="s">
        <v>161</v>
      </c>
      <c r="B29" s="47" t="str">
        <f aca="false">IF(C29&gt;0,"+","-")</f>
        <v>-</v>
      </c>
      <c r="C29" s="24" t="n">
        <v>0</v>
      </c>
      <c r="D29" s="24" t="n">
        <v>0</v>
      </c>
      <c r="E29" s="43" t="e">
        <f aca="false">(+C29/D29)-1</f>
        <v>#DIV/0!</v>
      </c>
      <c r="F29" s="22" t="n">
        <v>0</v>
      </c>
      <c r="G29" s="43" t="e">
        <f aca="false">(+D29/F29)-1</f>
        <v>#DIV/0!</v>
      </c>
    </row>
    <row r="30" customFormat="false" ht="12.8" hidden="false" customHeight="false" outlineLevel="0" collapsed="false">
      <c r="A30" s="0" t="s">
        <v>162</v>
      </c>
      <c r="B30" s="47" t="str">
        <f aca="false">IF(C30&gt;0,"+","-")</f>
        <v>-</v>
      </c>
      <c r="C30" s="24" t="n">
        <v>0</v>
      </c>
      <c r="D30" s="24" t="n">
        <v>0</v>
      </c>
      <c r="E30" s="43" t="e">
        <f aca="false">(+C30/D30)-1</f>
        <v>#DIV/0!</v>
      </c>
      <c r="F30" s="24" t="n">
        <v>0</v>
      </c>
      <c r="G30" s="43" t="e">
        <f aca="false">(+D30/F30)-1</f>
        <v>#DIV/0!</v>
      </c>
    </row>
    <row r="31" customFormat="false" ht="12.8" hidden="false" customHeight="false" outlineLevel="0" collapsed="false">
      <c r="A31" s="0" t="s">
        <v>156</v>
      </c>
      <c r="B31" s="47" t="str">
        <f aca="false">IF(C31&gt;0,"+","-")</f>
        <v>-</v>
      </c>
      <c r="C31" s="24" t="n">
        <f aca="false">-183785+3877</f>
        <v>-179908</v>
      </c>
      <c r="D31" s="24" t="n">
        <f aca="false">-494112+8238</f>
        <v>-485874</v>
      </c>
      <c r="E31" s="43" t="n">
        <f aca="false">(+C31/D31)-1</f>
        <v>-0.629722932282855</v>
      </c>
      <c r="F31" s="24" t="n">
        <f aca="false">742487+10473</f>
        <v>752960</v>
      </c>
      <c r="G31" s="43" t="n">
        <f aca="false">(+D31/F31)-1</f>
        <v>-1.64528527411815</v>
      </c>
      <c r="L31" s="0"/>
      <c r="M31" s="0"/>
      <c r="N31" s="0"/>
    </row>
    <row r="32" customFormat="false" ht="12.8" hidden="false" customHeight="false" outlineLevel="0" collapsed="false">
      <c r="A32" s="0" t="s">
        <v>163</v>
      </c>
      <c r="B32" s="47" t="str">
        <f aca="false">IF(C32&gt;0,"+","-")</f>
        <v>+</v>
      </c>
      <c r="C32" s="24" t="n">
        <v>3840</v>
      </c>
      <c r="D32" s="24" t="n">
        <v>2612</v>
      </c>
      <c r="E32" s="43" t="n">
        <f aca="false">(+C32/D32)-1</f>
        <v>0.470137825421133</v>
      </c>
      <c r="F32" s="24" t="n">
        <v>15232</v>
      </c>
      <c r="G32" s="43" t="n">
        <f aca="false">(+D32/F32)-1</f>
        <v>-0.828518907563025</v>
      </c>
      <c r="L32" s="0"/>
      <c r="M32" s="0"/>
      <c r="N32" s="0"/>
    </row>
    <row r="33" customFormat="false" ht="12.8" hidden="false" customHeight="false" outlineLevel="0" collapsed="false">
      <c r="A33" s="0" t="s">
        <v>164</v>
      </c>
      <c r="B33" s="47" t="str">
        <f aca="false">IF(C33&gt;0,"+","-")</f>
        <v>+</v>
      </c>
      <c r="C33" s="24" t="n">
        <v>9833</v>
      </c>
      <c r="D33" s="24" t="n">
        <v>9015</v>
      </c>
      <c r="E33" s="43" t="n">
        <f aca="false">(+C33/D33)-1</f>
        <v>0.0907376594564615</v>
      </c>
      <c r="F33" s="24" t="n">
        <v>7073</v>
      </c>
      <c r="G33" s="43" t="n">
        <f aca="false">(+D33/F33)-1</f>
        <v>0.274565248126679</v>
      </c>
    </row>
    <row r="34" customFormat="false" ht="12.8" hidden="false" customHeight="false" outlineLevel="0" collapsed="false">
      <c r="A34" s="101" t="s">
        <v>157</v>
      </c>
      <c r="B34" s="104" t="n">
        <f aca="false">SUM(C27:C33)</f>
        <v>-2119808</v>
      </c>
      <c r="C34" s="104"/>
      <c r="D34" s="26" t="n">
        <f aca="false">SUM(D27:D33)</f>
        <v>-1966442</v>
      </c>
      <c r="E34" s="103" t="n">
        <f aca="false">(+B34/D34)-1</f>
        <v>0.0779916214157346</v>
      </c>
      <c r="F34" s="26" t="n">
        <f aca="false">SUM(F27:F33)</f>
        <v>-1023133</v>
      </c>
      <c r="G34" s="103" t="n">
        <f aca="false">(+D34/F34)-1</f>
        <v>0.921980817743148</v>
      </c>
    </row>
    <row r="35" customFormat="false" ht="12.8" hidden="false" customHeight="false" outlineLevel="0" collapsed="false">
      <c r="A35" s="105" t="s">
        <v>165</v>
      </c>
      <c r="B35" s="105"/>
      <c r="C35" s="105"/>
      <c r="D35" s="105"/>
      <c r="E35" s="105"/>
      <c r="F35" s="105"/>
      <c r="G35" s="105"/>
    </row>
    <row r="36" customFormat="false" ht="12.8" hidden="false" customHeight="false" outlineLevel="0" collapsed="false">
      <c r="A36" s="28" t="s">
        <v>166</v>
      </c>
      <c r="B36" s="47" t="str">
        <f aca="false">IF(C36&gt;0,"+","-")</f>
        <v>-</v>
      </c>
      <c r="C36" s="24" t="n">
        <v>0</v>
      </c>
      <c r="D36" s="24" t="n">
        <v>0</v>
      </c>
      <c r="E36" s="106" t="e">
        <f aca="false">(+C36/D36)-1</f>
        <v>#DIV/0!</v>
      </c>
      <c r="F36" s="24" t="n">
        <v>0</v>
      </c>
      <c r="G36" s="43" t="e">
        <f aca="false">(+D36/F36)-1</f>
        <v>#DIV/0!</v>
      </c>
    </row>
    <row r="37" customFormat="false" ht="12.8" hidden="false" customHeight="false" outlineLevel="0" collapsed="false">
      <c r="A37" s="0" t="s">
        <v>167</v>
      </c>
      <c r="B37" s="47" t="str">
        <f aca="false">IF(C37&gt;0,"+","-")</f>
        <v>-</v>
      </c>
      <c r="C37" s="24" t="n">
        <v>0</v>
      </c>
      <c r="D37" s="24" t="n">
        <v>0</v>
      </c>
      <c r="E37" s="106" t="e">
        <f aca="false">(+C37/D37)-1</f>
        <v>#DIV/0!</v>
      </c>
      <c r="F37" s="24" t="n">
        <v>0</v>
      </c>
      <c r="G37" s="43" t="e">
        <f aca="false">(+D37/F37)-1</f>
        <v>#DIV/0!</v>
      </c>
    </row>
    <row r="38" customFormat="false" ht="19.4" hidden="false" customHeight="false" outlineLevel="0" collapsed="false">
      <c r="A38" s="107" t="s">
        <v>168</v>
      </c>
      <c r="B38" s="47" t="str">
        <f aca="false">IF(C38&gt;0,"+","-")</f>
        <v>-</v>
      </c>
      <c r="C38" s="24" t="n">
        <v>0</v>
      </c>
      <c r="D38" s="24" t="n">
        <v>0</v>
      </c>
      <c r="E38" s="106" t="e">
        <f aca="false">(+C38/D38)-1</f>
        <v>#DIV/0!</v>
      </c>
      <c r="F38" s="24" t="n">
        <v>0</v>
      </c>
      <c r="G38" s="43" t="e">
        <f aca="false">(+D38/F38)-1</f>
        <v>#DIV/0!</v>
      </c>
    </row>
    <row r="39" customFormat="false" ht="12.8" hidden="false" customHeight="false" outlineLevel="0" collapsed="false">
      <c r="A39" s="0" t="s">
        <v>169</v>
      </c>
      <c r="B39" s="47" t="str">
        <f aca="false">IF(C39&gt;0,"+","-")</f>
        <v>-</v>
      </c>
      <c r="C39" s="24" t="n">
        <v>0</v>
      </c>
      <c r="D39" s="24" t="n">
        <v>0</v>
      </c>
      <c r="E39" s="106" t="e">
        <f aca="false">(+C39/D39)-1</f>
        <v>#DIV/0!</v>
      </c>
      <c r="F39" s="24" t="n">
        <v>0</v>
      </c>
      <c r="G39" s="43" t="e">
        <f aca="false">(+D39/F39)-1</f>
        <v>#DIV/0!</v>
      </c>
    </row>
    <row r="40" customFormat="false" ht="12.8" hidden="false" customHeight="false" outlineLevel="0" collapsed="false">
      <c r="A40" s="0" t="s">
        <v>170</v>
      </c>
      <c r="B40" s="47" t="str">
        <f aca="false">IF(C40&gt;0,"+","-")</f>
        <v>-</v>
      </c>
      <c r="C40" s="24" t="n">
        <v>-1381361</v>
      </c>
      <c r="D40" s="24" t="n">
        <v>-1327766</v>
      </c>
      <c r="E40" s="106" t="n">
        <f aca="false">(+C40/D40)-1</f>
        <v>0.0403647931939815</v>
      </c>
      <c r="F40" s="24" t="n">
        <v>-1595704</v>
      </c>
      <c r="G40" s="43" t="n">
        <f aca="false">(+D40/F40)-1</f>
        <v>-0.167912093972316</v>
      </c>
    </row>
    <row r="41" customFormat="false" ht="12.8" hidden="false" customHeight="false" outlineLevel="0" collapsed="false">
      <c r="A41" s="0" t="s">
        <v>171</v>
      </c>
      <c r="B41" s="47" t="str">
        <f aca="false">IF(C41&gt;0,"+","-")</f>
        <v>-</v>
      </c>
      <c r="C41" s="24" t="n">
        <v>0</v>
      </c>
      <c r="D41" s="24" t="n">
        <v>0</v>
      </c>
      <c r="E41" s="106" t="e">
        <f aca="false">(+C41/D41)-1</f>
        <v>#DIV/0!</v>
      </c>
      <c r="F41" s="24" t="n">
        <v>0</v>
      </c>
      <c r="G41" s="43" t="e">
        <f aca="false">(+D41/F41)-1</f>
        <v>#DIV/0!</v>
      </c>
    </row>
    <row r="42" customFormat="false" ht="12.8" hidden="false" customHeight="false" outlineLevel="0" collapsed="false">
      <c r="A42" s="0" t="s">
        <v>172</v>
      </c>
      <c r="B42" s="47" t="str">
        <f aca="false">IF(C42&gt;0,"+","-")</f>
        <v>-</v>
      </c>
      <c r="C42" s="24" t="n">
        <v>-625037</v>
      </c>
      <c r="D42" s="24" t="n">
        <v>-650270</v>
      </c>
      <c r="E42" s="106" t="n">
        <f aca="false">(+C42/D42)-1</f>
        <v>-0.0388038814646224</v>
      </c>
      <c r="F42" s="24" t="n">
        <v>-127205</v>
      </c>
      <c r="G42" s="43" t="n">
        <f aca="false">(+D42/F42)-1</f>
        <v>4.11198459180064</v>
      </c>
    </row>
    <row r="43" customFormat="false" ht="12.8" hidden="false" customHeight="false" outlineLevel="0" collapsed="false">
      <c r="A43" s="101" t="s">
        <v>157</v>
      </c>
      <c r="B43" s="104" t="n">
        <f aca="false">SUM(C36:C42)</f>
        <v>-2006398</v>
      </c>
      <c r="C43" s="104"/>
      <c r="D43" s="26" t="n">
        <f aca="false">SUM(D36:D42)</f>
        <v>-1978036</v>
      </c>
      <c r="E43" s="103" t="n">
        <f aca="false">(+B43/D43)-1</f>
        <v>0.0143384650228813</v>
      </c>
      <c r="F43" s="26" t="n">
        <f aca="false">SUM(F36:F42)</f>
        <v>-1722909</v>
      </c>
      <c r="G43" s="103" t="n">
        <f aca="false">(+D43/F43)-1</f>
        <v>0.148079207897805</v>
      </c>
    </row>
    <row r="44" customFormat="false" ht="12.8" hidden="false" customHeight="false" outlineLevel="0" collapsed="false">
      <c r="A44" s="50" t="s">
        <v>173</v>
      </c>
      <c r="B44" s="50"/>
      <c r="C44" s="50"/>
      <c r="D44" s="50"/>
      <c r="E44" s="50"/>
      <c r="F44" s="50"/>
      <c r="G44" s="50"/>
    </row>
    <row r="45" customFormat="false" ht="12.8" hidden="false" customHeight="false" outlineLevel="0" collapsed="false">
      <c r="A45" s="101" t="s">
        <v>174</v>
      </c>
      <c r="B45" s="108" t="n">
        <v>1635743</v>
      </c>
      <c r="C45" s="108"/>
      <c r="D45" s="26" t="n">
        <v>1539722</v>
      </c>
      <c r="E45" s="103" t="n">
        <f aca="false">(+B45/D45)-1</f>
        <v>0.0623625563575763</v>
      </c>
      <c r="F45" s="26" t="n">
        <v>517310</v>
      </c>
      <c r="G45" s="103" t="n">
        <f aca="false">(+D45/F45)-1</f>
        <v>1.97640099746767</v>
      </c>
    </row>
    <row r="46" customFormat="false" ht="12.8" hidden="false" customHeight="false" outlineLevel="0" collapsed="false">
      <c r="A46" s="101" t="s">
        <v>175</v>
      </c>
      <c r="B46" s="108" t="n">
        <f aca="false">+B25+B34+B43</f>
        <v>-343927</v>
      </c>
      <c r="C46" s="108"/>
      <c r="D46" s="26" t="n">
        <f aca="false">+D43+D34+D25</f>
        <v>96021</v>
      </c>
      <c r="E46" s="103" t="n">
        <f aca="false">(+B46/D46)-1</f>
        <v>-4.58178940023537</v>
      </c>
      <c r="F46" s="26" t="n">
        <f aca="false">+F43+F34+F25</f>
        <v>982412</v>
      </c>
      <c r="G46" s="103" t="n">
        <f aca="false">(+D46/F46)-1</f>
        <v>-0.902259947964805</v>
      </c>
    </row>
    <row r="47" customFormat="false" ht="12.8" hidden="false" customHeight="false" outlineLevel="0" collapsed="false">
      <c r="A47" s="101" t="s">
        <v>176</v>
      </c>
      <c r="B47" s="108" t="n">
        <f aca="false">+B45+B46</f>
        <v>1291816</v>
      </c>
      <c r="C47" s="108"/>
      <c r="D47" s="26" t="n">
        <f aca="false">+D45+D46</f>
        <v>1635743</v>
      </c>
      <c r="E47" s="103" t="n">
        <f aca="false">(+B47/D47)-1</f>
        <v>-0.210257357054256</v>
      </c>
      <c r="F47" s="26" t="n">
        <f aca="false">+F45+F46</f>
        <v>1499722</v>
      </c>
      <c r="G47" s="103" t="n">
        <f aca="false">(+D47/F47)-1</f>
        <v>0.0906974759322061</v>
      </c>
    </row>
    <row r="48" customFormat="false" ht="12.8" hidden="false" customHeight="false" outlineLevel="0" collapsed="false">
      <c r="A48" s="50"/>
      <c r="B48" s="50"/>
      <c r="C48" s="50"/>
      <c r="D48" s="50"/>
      <c r="E48" s="50"/>
      <c r="F48" s="50"/>
      <c r="G48" s="50"/>
    </row>
  </sheetData>
  <mergeCells count="17">
    <mergeCell ref="A3:G3"/>
    <mergeCell ref="I3:K3"/>
    <mergeCell ref="I4:K4"/>
    <mergeCell ref="I5:K5"/>
    <mergeCell ref="I6:K6"/>
    <mergeCell ref="I7:K7"/>
    <mergeCell ref="I8:K8"/>
    <mergeCell ref="B25:C25"/>
    <mergeCell ref="A26:G26"/>
    <mergeCell ref="B34:C34"/>
    <mergeCell ref="A35:G35"/>
    <mergeCell ref="B43:C43"/>
    <mergeCell ref="A44:G44"/>
    <mergeCell ref="B45:C45"/>
    <mergeCell ref="B46:C46"/>
    <mergeCell ref="B47:C47"/>
    <mergeCell ref="A48:G48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2022-05-23T16:46:00Z</dcterms:created>
  <dc:creator/>
  <dc:description/>
  <dc:language>en-US</dc:language>
  <cp:lastModifiedBy/>
  <dcterms:modified xsi:type="dcterms:W3CDTF">2022-05-28T13:44:30Z</dcterms:modified>
  <cp:revision>22</cp:revision>
  <dc:subject/>
  <dc:title/>
</cp:coreProperties>
</file>